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735" yWindow="1650" windowWidth="9825" windowHeight="6090" tabRatio="836" activeTab="8"/>
  </bookViews>
  <sheets>
    <sheet name="TB" sheetId="35" r:id="rId1"/>
    <sheet name="CA" sheetId="2" r:id="rId2"/>
    <sheet name="Due from" sheetId="23" r:id="rId3"/>
    <sheet name="146 sched" sheetId="27" r:id="rId4"/>
    <sheet name="BS" sheetId="7" r:id="rId5"/>
    <sheet name="IS" sheetId="8" r:id="rId6"/>
    <sheet name="CSF-Annual" sheetId="28" r:id="rId7"/>
    <sheet name="CSF-Qtr" sheetId="32" r:id="rId8"/>
    <sheet name="CFS-month" sheetId="22" r:id="rId9"/>
    <sheet name="REvised GE" sheetId="33" r:id="rId10"/>
    <sheet name="SUB" sheetId="31" r:id="rId11"/>
    <sheet name="Interest" sheetId="26" r:id="rId12"/>
    <sheet name="Surplus" sheetId="36" r:id="rId13"/>
    <sheet name="Sheet1" sheetId="34" r:id="rId14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3">'146 sched'!$A$1:$I$34</definedName>
    <definedName name="_xlnm.Print_Area" localSheetId="4">BS!$A$1:$G$229</definedName>
    <definedName name="_xlnm.Print_Area" localSheetId="1">CA!$A$1:$K$76</definedName>
    <definedName name="_xlnm.Print_Area" localSheetId="8">'CFS-month'!$A$1:$E$52</definedName>
    <definedName name="_xlnm.Print_Area" localSheetId="6">'CSF-Annual'!$A$1:$F$52</definedName>
    <definedName name="_xlnm.Print_Area" localSheetId="7">'CSF-Qtr'!$A$1:$E$52</definedName>
    <definedName name="_xlnm.Print_Area" localSheetId="2">'Due from'!$A$1:$J$46</definedName>
    <definedName name="_xlnm.Print_Area" localSheetId="11">Interest!$A$1:$D$27</definedName>
    <definedName name="_xlnm.Print_Area" localSheetId="5">IS!$A$1:$G$306</definedName>
    <definedName name="_xlnm.Print_Area" localSheetId="9">'REvised GE'!$A$1:$E$27</definedName>
    <definedName name="_xlnm.Print_Area" localSheetId="13">Sheet1!$B$12:$J$21</definedName>
    <definedName name="_xlnm.Print_Area" localSheetId="10">SUB!$A$1:$H$590</definedName>
    <definedName name="_xlnm.Print_Area" localSheetId="12">Surplus!$A$1:$E$41</definedName>
    <definedName name="_xlnm.Print_Area" localSheetId="0">TB!$A$1:$E$428</definedName>
    <definedName name="_xlnm.Print_Titles" localSheetId="4">BS!$1:$8</definedName>
    <definedName name="_xlnm.Print_Titles" localSheetId="5">IS!$1:$10</definedName>
    <definedName name="_xlnm.Print_Titles" localSheetId="10">SUB!$1:$7</definedName>
    <definedName name="_xlnm.Print_Titles" localSheetId="0">TB!$1:$8</definedName>
  </definedNames>
  <calcPr calcId="125725"/>
</workbook>
</file>

<file path=xl/calcChain.xml><?xml version="1.0" encoding="utf-8"?>
<calcChain xmlns="http://schemas.openxmlformats.org/spreadsheetml/2006/main">
  <c r="T265" i="35"/>
  <c r="U265"/>
  <c r="T266"/>
  <c r="U266"/>
  <c r="T267"/>
  <c r="U267"/>
  <c r="T268"/>
  <c r="U268"/>
  <c r="T269"/>
  <c r="U269"/>
  <c r="T270"/>
  <c r="U270"/>
  <c r="T271"/>
  <c r="U271"/>
  <c r="T272"/>
  <c r="U272"/>
  <c r="T273"/>
  <c r="U273"/>
  <c r="T274"/>
  <c r="U274"/>
  <c r="T275"/>
  <c r="U275"/>
  <c r="T276"/>
  <c r="U276"/>
  <c r="T277"/>
  <c r="U277"/>
  <c r="T278"/>
  <c r="U278"/>
  <c r="T279"/>
  <c r="U279"/>
  <c r="T280"/>
  <c r="U280"/>
  <c r="T281"/>
  <c r="U281"/>
  <c r="T282"/>
  <c r="U282"/>
  <c r="T283"/>
  <c r="U283"/>
  <c r="T284"/>
  <c r="U284"/>
  <c r="T285"/>
  <c r="U285"/>
  <c r="T286"/>
  <c r="U286"/>
  <c r="T287"/>
  <c r="U287"/>
  <c r="T288"/>
  <c r="U288"/>
  <c r="T289"/>
  <c r="U289"/>
  <c r="T290"/>
  <c r="U290"/>
  <c r="T291"/>
  <c r="U291"/>
  <c r="T292"/>
  <c r="U292"/>
  <c r="T293"/>
  <c r="U293"/>
  <c r="T294"/>
  <c r="U294"/>
  <c r="T295"/>
  <c r="U295"/>
  <c r="T296"/>
  <c r="U296"/>
  <c r="T297"/>
  <c r="U297"/>
  <c r="T298"/>
  <c r="U298"/>
  <c r="T299"/>
  <c r="U299"/>
  <c r="T300"/>
  <c r="U300"/>
  <c r="T301"/>
  <c r="U301"/>
  <c r="T302"/>
  <c r="U302"/>
  <c r="T303"/>
  <c r="U303"/>
  <c r="T304"/>
  <c r="U304"/>
  <c r="T305"/>
  <c r="U305"/>
  <c r="T306"/>
  <c r="U306"/>
  <c r="T307"/>
  <c r="U307"/>
  <c r="T308"/>
  <c r="U308"/>
  <c r="T309"/>
  <c r="U309"/>
  <c r="T310"/>
  <c r="U310"/>
  <c r="T311"/>
  <c r="U311"/>
  <c r="T312"/>
  <c r="U312"/>
  <c r="T313"/>
  <c r="U313"/>
  <c r="T314"/>
  <c r="U314"/>
  <c r="T315"/>
  <c r="U315"/>
  <c r="T316"/>
  <c r="U316"/>
  <c r="T317"/>
  <c r="U317"/>
  <c r="T318"/>
  <c r="U318"/>
  <c r="T319"/>
  <c r="U319"/>
  <c r="T320"/>
  <c r="U320"/>
  <c r="T321"/>
  <c r="U321"/>
  <c r="T322"/>
  <c r="U322"/>
  <c r="T323"/>
  <c r="U323"/>
  <c r="T324"/>
  <c r="U324"/>
  <c r="T325"/>
  <c r="U325"/>
  <c r="T326"/>
  <c r="U326"/>
  <c r="T327"/>
  <c r="U327"/>
  <c r="T328"/>
  <c r="U328"/>
  <c r="T329"/>
  <c r="U329"/>
  <c r="T330"/>
  <c r="U330"/>
  <c r="T331"/>
  <c r="U331"/>
  <c r="T332"/>
  <c r="U332"/>
  <c r="T333"/>
  <c r="U333"/>
  <c r="T334"/>
  <c r="U334"/>
  <c r="T335"/>
  <c r="U335"/>
  <c r="T336"/>
  <c r="U336"/>
  <c r="T337"/>
  <c r="U337"/>
  <c r="T338"/>
  <c r="U338"/>
  <c r="T339"/>
  <c r="U339"/>
  <c r="T340"/>
  <c r="U340"/>
  <c r="T341"/>
  <c r="U341"/>
  <c r="T342"/>
  <c r="U342"/>
  <c r="T343"/>
  <c r="U343"/>
  <c r="T344"/>
  <c r="U344"/>
  <c r="T345"/>
  <c r="U345"/>
  <c r="T346"/>
  <c r="U346"/>
  <c r="T347"/>
  <c r="U347"/>
  <c r="T348"/>
  <c r="U348"/>
  <c r="T349"/>
  <c r="U349"/>
  <c r="T350"/>
  <c r="U350"/>
  <c r="T351"/>
  <c r="U351"/>
  <c r="T352"/>
  <c r="U352"/>
  <c r="T353"/>
  <c r="U353"/>
  <c r="T354"/>
  <c r="U354"/>
  <c r="T355"/>
  <c r="U355"/>
  <c r="T356"/>
  <c r="U356"/>
  <c r="T357"/>
  <c r="U357"/>
  <c r="T358"/>
  <c r="U358"/>
  <c r="T359"/>
  <c r="U359"/>
  <c r="T360"/>
  <c r="U360"/>
  <c r="T361"/>
  <c r="U361"/>
  <c r="T362"/>
  <c r="U362"/>
  <c r="T363"/>
  <c r="U363"/>
  <c r="T364"/>
  <c r="U364"/>
  <c r="T365"/>
  <c r="U365"/>
  <c r="T366"/>
  <c r="U366"/>
  <c r="T367"/>
  <c r="U367"/>
  <c r="T368"/>
  <c r="U368"/>
  <c r="T369"/>
  <c r="U369"/>
  <c r="T370"/>
  <c r="U370"/>
  <c r="T371"/>
  <c r="U371"/>
  <c r="T372"/>
  <c r="U372"/>
  <c r="T373"/>
  <c r="U373"/>
  <c r="T374"/>
  <c r="U374"/>
  <c r="T375"/>
  <c r="U375"/>
  <c r="T376"/>
  <c r="U376"/>
  <c r="T377"/>
  <c r="U377"/>
  <c r="T378"/>
  <c r="U378"/>
  <c r="T379"/>
  <c r="U379"/>
  <c r="T380"/>
  <c r="U380"/>
  <c r="T381"/>
  <c r="U381"/>
  <c r="T382"/>
  <c r="U382"/>
  <c r="T383"/>
  <c r="U383"/>
  <c r="T384"/>
  <c r="U384"/>
  <c r="T385"/>
  <c r="U385"/>
  <c r="T386"/>
  <c r="U386"/>
  <c r="T387"/>
  <c r="U387"/>
  <c r="T388"/>
  <c r="U388"/>
  <c r="T389"/>
  <c r="U389"/>
  <c r="T390"/>
  <c r="U390"/>
  <c r="T391"/>
  <c r="U391"/>
  <c r="T392"/>
  <c r="U392"/>
  <c r="T393"/>
  <c r="U393"/>
  <c r="T394"/>
  <c r="U394"/>
  <c r="T395"/>
  <c r="U395"/>
  <c r="T396"/>
  <c r="U396"/>
  <c r="T397"/>
  <c r="U397"/>
  <c r="T398"/>
  <c r="U398"/>
  <c r="T399"/>
  <c r="U399"/>
  <c r="T400"/>
  <c r="U400"/>
  <c r="T401"/>
  <c r="U401"/>
  <c r="T402"/>
  <c r="U402"/>
  <c r="T403"/>
  <c r="U403"/>
  <c r="T404"/>
  <c r="U404"/>
  <c r="T405"/>
  <c r="U405"/>
  <c r="T406"/>
  <c r="U406"/>
  <c r="T407"/>
  <c r="U407"/>
  <c r="T408"/>
  <c r="U408"/>
  <c r="T409"/>
  <c r="U409"/>
  <c r="T410"/>
  <c r="U410"/>
  <c r="T411"/>
  <c r="U411"/>
  <c r="T412"/>
  <c r="U412"/>
  <c r="T413"/>
  <c r="U413"/>
  <c r="U10" l="1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414"/>
  <c r="U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414"/>
  <c r="T9"/>
  <c r="AP22" i="28"/>
  <c r="AP21"/>
  <c r="AP18"/>
  <c r="AC34"/>
  <c r="AC25"/>
  <c r="AC21"/>
  <c r="P17"/>
  <c r="P13"/>
  <c r="AO18" i="32"/>
  <c r="AO22"/>
  <c r="AO21"/>
  <c r="AB37"/>
  <c r="AB34"/>
  <c r="AB25"/>
  <c r="AB21"/>
  <c r="O17"/>
  <c r="O13"/>
  <c r="O13" i="22"/>
  <c r="O17"/>
  <c r="S13" l="1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13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15"/>
  <c r="AO22"/>
  <c r="AO21"/>
  <c r="AB34"/>
  <c r="AB21"/>
  <c r="S14"/>
  <c r="S15"/>
  <c r="S16"/>
  <c r="S17"/>
  <c r="S19"/>
  <c r="S20"/>
  <c r="S21"/>
  <c r="S22"/>
  <c r="S23"/>
  <c r="S24"/>
  <c r="S26"/>
  <c r="S27"/>
  <c r="S28"/>
  <c r="S29"/>
  <c r="S30"/>
  <c r="S31"/>
  <c r="S32"/>
  <c r="S33"/>
  <c r="S34"/>
  <c r="S35"/>
  <c r="S36"/>
  <c r="S38"/>
  <c r="S39"/>
  <c r="S40"/>
  <c r="S41"/>
  <c r="S42"/>
  <c r="S43"/>
  <c r="S44"/>
  <c r="S45"/>
  <c r="S46"/>
  <c r="S47"/>
  <c r="S48"/>
  <c r="S49"/>
  <c r="S51"/>
  <c r="E21" i="2"/>
  <c r="F21"/>
  <c r="G24"/>
  <c r="G22"/>
  <c r="G20" l="1"/>
  <c r="G18"/>
  <c r="L514" i="31"/>
  <c r="H514" s="1"/>
  <c r="H403" l="1"/>
  <c r="L401"/>
  <c r="H401" s="1"/>
  <c r="L402"/>
  <c r="H402" s="1"/>
  <c r="L403"/>
  <c r="H279"/>
  <c r="L279"/>
  <c r="L155"/>
  <c r="H155" s="1"/>
  <c r="L156"/>
  <c r="H156" s="1"/>
  <c r="L157"/>
  <c r="H157"/>
  <c r="S10" i="35" l="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3"/>
  <c r="S274"/>
  <c r="S275"/>
  <c r="S276"/>
  <c r="S277"/>
  <c r="S278"/>
  <c r="S279"/>
  <c r="S280"/>
  <c r="S281"/>
  <c r="S282"/>
  <c r="S283"/>
  <c r="S284"/>
  <c r="S285"/>
  <c r="S286"/>
  <c r="S288"/>
  <c r="S290"/>
  <c r="S291"/>
  <c r="S292"/>
  <c r="S293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5"/>
  <c r="S316"/>
  <c r="S317"/>
  <c r="S318"/>
  <c r="S319"/>
  <c r="S320"/>
  <c r="S321"/>
  <c r="S322"/>
  <c r="S323"/>
  <c r="S324"/>
  <c r="S325"/>
  <c r="S326"/>
  <c r="S327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3"/>
  <c r="R274"/>
  <c r="R275"/>
  <c r="R276"/>
  <c r="R277"/>
  <c r="R278"/>
  <c r="R279"/>
  <c r="R280"/>
  <c r="R281"/>
  <c r="R282"/>
  <c r="R283"/>
  <c r="R284"/>
  <c r="R285"/>
  <c r="R286"/>
  <c r="R288"/>
  <c r="R290"/>
  <c r="R291"/>
  <c r="R292"/>
  <c r="R293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5"/>
  <c r="R316"/>
  <c r="R317"/>
  <c r="R318"/>
  <c r="R319"/>
  <c r="R320"/>
  <c r="R321"/>
  <c r="R322"/>
  <c r="R323"/>
  <c r="R324"/>
  <c r="R325"/>
  <c r="R326"/>
  <c r="R327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5"/>
  <c r="R416"/>
  <c r="R417"/>
  <c r="R418"/>
  <c r="R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9"/>
  <c r="O10"/>
  <c r="O11"/>
  <c r="O14"/>
  <c r="O15"/>
  <c r="O16"/>
  <c r="O17"/>
  <c r="O18"/>
  <c r="O19"/>
  <c r="O20"/>
  <c r="O21"/>
  <c r="O22"/>
  <c r="O23"/>
  <c r="O24"/>
  <c r="O25"/>
  <c r="O27"/>
  <c r="O28"/>
  <c r="O29"/>
  <c r="O30"/>
  <c r="O31"/>
  <c r="O33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9"/>
  <c r="O160"/>
  <c r="O161"/>
  <c r="O162"/>
  <c r="O163"/>
  <c r="O164"/>
  <c r="O165"/>
  <c r="O166"/>
  <c r="O168"/>
  <c r="O169"/>
  <c r="O170"/>
  <c r="O171"/>
  <c r="O172"/>
  <c r="O173"/>
  <c r="O174"/>
  <c r="O175"/>
  <c r="O176"/>
  <c r="O177"/>
  <c r="O178"/>
  <c r="O181"/>
  <c r="O182"/>
  <c r="O183"/>
  <c r="O184"/>
  <c r="O185"/>
  <c r="O186"/>
  <c r="O187"/>
  <c r="O188"/>
  <c r="O189"/>
  <c r="O190"/>
  <c r="O191"/>
  <c r="O192"/>
  <c r="O193"/>
  <c r="O194"/>
  <c r="O196"/>
  <c r="O197"/>
  <c r="O198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3"/>
  <c r="O254"/>
  <c r="O255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2"/>
  <c r="O413"/>
  <c r="O414"/>
  <c r="N10"/>
  <c r="N11"/>
  <c r="N14"/>
  <c r="N15"/>
  <c r="N16"/>
  <c r="N17"/>
  <c r="N18"/>
  <c r="N19"/>
  <c r="N20"/>
  <c r="N21"/>
  <c r="N22"/>
  <c r="N23"/>
  <c r="N24"/>
  <c r="N25"/>
  <c r="N27"/>
  <c r="N28"/>
  <c r="N29"/>
  <c r="N30"/>
  <c r="N31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81"/>
  <c r="N182"/>
  <c r="N183"/>
  <c r="N184"/>
  <c r="N185"/>
  <c r="N186"/>
  <c r="N187"/>
  <c r="N188"/>
  <c r="N189"/>
  <c r="N190"/>
  <c r="N191"/>
  <c r="N192"/>
  <c r="N193"/>
  <c r="N194"/>
  <c r="N196"/>
  <c r="N197"/>
  <c r="N198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3"/>
  <c r="N254"/>
  <c r="N255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2"/>
  <c r="N413"/>
  <c r="N414"/>
  <c r="S272" l="1"/>
  <c r="S287"/>
  <c r="S289"/>
  <c r="S294"/>
  <c r="S314"/>
  <c r="S328"/>
  <c r="S414"/>
  <c r="S34"/>
  <c r="R272"/>
  <c r="R289"/>
  <c r="R294"/>
  <c r="R314"/>
  <c r="R328"/>
  <c r="R414"/>
  <c r="R34"/>
  <c r="R287" l="1"/>
  <c r="C30" l="1"/>
  <c r="E164"/>
  <c r="A4" i="26" l="1"/>
  <c r="A4" i="33" s="1"/>
  <c r="AF52" i="22"/>
  <c r="AF51"/>
  <c r="AF12"/>
  <c r="AF11"/>
  <c r="AF10"/>
  <c r="AF9"/>
  <c r="S52"/>
  <c r="S12"/>
  <c r="S11"/>
  <c r="S10"/>
  <c r="S9"/>
  <c r="BF52"/>
  <c r="BF51"/>
  <c r="BF49"/>
  <c r="BF48"/>
  <c r="BF47"/>
  <c r="BF46"/>
  <c r="BF45"/>
  <c r="BF44"/>
  <c r="BF43"/>
  <c r="BF42"/>
  <c r="BF41"/>
  <c r="BF40"/>
  <c r="BF39"/>
  <c r="BF38"/>
  <c r="BF36"/>
  <c r="BF35"/>
  <c r="BF34"/>
  <c r="BF33"/>
  <c r="BF32"/>
  <c r="BF31"/>
  <c r="BF30"/>
  <c r="BF29"/>
  <c r="BF28"/>
  <c r="BF27"/>
  <c r="BF26"/>
  <c r="BF24"/>
  <c r="BF23"/>
  <c r="BF22"/>
  <c r="BF21"/>
  <c r="BF20"/>
  <c r="BF19"/>
  <c r="BF18"/>
  <c r="BF17"/>
  <c r="BF16"/>
  <c r="BF15"/>
  <c r="BF14"/>
  <c r="BF13"/>
  <c r="BF12"/>
  <c r="BF11"/>
  <c r="BF10"/>
  <c r="BF9"/>
  <c r="AS52"/>
  <c r="AS51"/>
  <c r="AS14"/>
  <c r="AS13"/>
  <c r="AS12"/>
  <c r="AS11"/>
  <c r="AS10"/>
  <c r="AS9"/>
  <c r="AN25"/>
  <c r="AN22"/>
  <c r="AN21"/>
  <c r="AN18"/>
  <c r="AN25" i="32"/>
  <c r="AN22"/>
  <c r="AN21"/>
  <c r="AN18"/>
  <c r="AA34" i="22"/>
  <c r="AA25"/>
  <c r="AA21"/>
  <c r="AA34" i="32"/>
  <c r="AA21"/>
  <c r="AA25" s="1"/>
  <c r="N17" i="22"/>
  <c r="N13"/>
  <c r="N18" s="1"/>
  <c r="N17" i="32"/>
  <c r="N13"/>
  <c r="N18" s="1"/>
  <c r="AO51" i="28"/>
  <c r="AO21"/>
  <c r="AO22"/>
  <c r="AB51"/>
  <c r="AB34"/>
  <c r="AB21"/>
  <c r="O17"/>
  <c r="O13"/>
  <c r="L29" i="31"/>
  <c r="L28"/>
  <c r="L31"/>
  <c r="L27"/>
  <c r="L32"/>
  <c r="L24"/>
  <c r="L400"/>
  <c r="H400" s="1"/>
  <c r="L59"/>
  <c r="L45"/>
  <c r="L10"/>
  <c r="L11"/>
  <c r="L14"/>
  <c r="L15"/>
  <c r="L16"/>
  <c r="L18"/>
  <c r="L19"/>
  <c r="L21"/>
  <c r="L23"/>
  <c r="L30"/>
  <c r="L33"/>
  <c r="L35"/>
  <c r="L37"/>
  <c r="L38"/>
  <c r="L39"/>
  <c r="L40"/>
  <c r="L43"/>
  <c r="L46"/>
  <c r="L47"/>
  <c r="L48"/>
  <c r="L49"/>
  <c r="L50"/>
  <c r="L51"/>
  <c r="L52"/>
  <c r="L53"/>
  <c r="L54"/>
  <c r="L55"/>
  <c r="L56"/>
  <c r="L57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7"/>
  <c r="L91"/>
  <c r="L93"/>
  <c r="L94"/>
  <c r="L95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4"/>
  <c r="L125"/>
  <c r="L126"/>
  <c r="L127"/>
  <c r="L128"/>
  <c r="L129"/>
  <c r="L131"/>
  <c r="L132"/>
  <c r="L133"/>
  <c r="L134"/>
  <c r="L135"/>
  <c r="L136"/>
  <c r="L138"/>
  <c r="L139"/>
  <c r="L141"/>
  <c r="L143"/>
  <c r="L146"/>
  <c r="L147"/>
  <c r="L148"/>
  <c r="L149"/>
  <c r="L150"/>
  <c r="L151"/>
  <c r="L152"/>
  <c r="L153"/>
  <c r="L154"/>
  <c r="L160"/>
  <c r="L161"/>
  <c r="L162"/>
  <c r="L163"/>
  <c r="L165"/>
  <c r="L166"/>
  <c r="L167"/>
  <c r="L168"/>
  <c r="L169"/>
  <c r="L170"/>
  <c r="L171"/>
  <c r="L172"/>
  <c r="L173"/>
  <c r="L174"/>
  <c r="L175"/>
  <c r="L176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3"/>
  <c r="L204"/>
  <c r="L205"/>
  <c r="L206"/>
  <c r="L207"/>
  <c r="L208"/>
  <c r="L209"/>
  <c r="L210"/>
  <c r="L211"/>
  <c r="L212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7"/>
  <c r="L238"/>
  <c r="L240"/>
  <c r="L242"/>
  <c r="L243"/>
  <c r="L245"/>
  <c r="L246"/>
  <c r="L247"/>
  <c r="L248"/>
  <c r="L250"/>
  <c r="L251"/>
  <c r="L252"/>
  <c r="L253"/>
  <c r="L254"/>
  <c r="L255"/>
  <c r="L256"/>
  <c r="L258"/>
  <c r="L259"/>
  <c r="L260"/>
  <c r="L261"/>
  <c r="L262"/>
  <c r="L263"/>
  <c r="L264"/>
  <c r="L265"/>
  <c r="L267"/>
  <c r="L268"/>
  <c r="L269"/>
  <c r="L270"/>
  <c r="L273"/>
  <c r="L274"/>
  <c r="L275"/>
  <c r="L276"/>
  <c r="L277"/>
  <c r="L278"/>
  <c r="L284"/>
  <c r="L285"/>
  <c r="L289"/>
  <c r="L290"/>
  <c r="L291"/>
  <c r="L292"/>
  <c r="L293"/>
  <c r="L294"/>
  <c r="L295"/>
  <c r="L296"/>
  <c r="L297"/>
  <c r="L298"/>
  <c r="L299"/>
  <c r="L300"/>
  <c r="L301"/>
  <c r="L302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4"/>
  <c r="L345"/>
  <c r="L346"/>
  <c r="L347"/>
  <c r="L348"/>
  <c r="L349"/>
  <c r="L352"/>
  <c r="L353"/>
  <c r="L354"/>
  <c r="L355"/>
  <c r="L356"/>
  <c r="L357"/>
  <c r="L358"/>
  <c r="L359"/>
  <c r="L360"/>
  <c r="L361"/>
  <c r="L362"/>
  <c r="L363"/>
  <c r="L364"/>
  <c r="L365"/>
  <c r="L366"/>
  <c r="L367"/>
  <c r="L370"/>
  <c r="L371"/>
  <c r="L372"/>
  <c r="L373"/>
  <c r="L374"/>
  <c r="L375"/>
  <c r="L376"/>
  <c r="L377"/>
  <c r="L379"/>
  <c r="L380"/>
  <c r="L381"/>
  <c r="L382"/>
  <c r="L386"/>
  <c r="L387"/>
  <c r="L388"/>
  <c r="L389"/>
  <c r="L390"/>
  <c r="L391"/>
  <c r="L392"/>
  <c r="L393"/>
  <c r="L394"/>
  <c r="L395"/>
  <c r="L396"/>
  <c r="L397"/>
  <c r="L398"/>
  <c r="L399"/>
  <c r="L404"/>
  <c r="L407"/>
  <c r="L408"/>
  <c r="L409"/>
  <c r="L410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2"/>
  <c r="L444"/>
  <c r="L445"/>
  <c r="L446"/>
  <c r="L447"/>
  <c r="L448"/>
  <c r="L449"/>
  <c r="L450"/>
  <c r="L451"/>
  <c r="L452"/>
  <c r="L453"/>
  <c r="L454"/>
  <c r="L455"/>
  <c r="L456"/>
  <c r="L457"/>
  <c r="L458"/>
  <c r="L459"/>
  <c r="L461"/>
  <c r="L464"/>
  <c r="L465"/>
  <c r="L466"/>
  <c r="L467"/>
  <c r="L469"/>
  <c r="L470"/>
  <c r="L472"/>
  <c r="L473"/>
  <c r="L474"/>
  <c r="L475"/>
  <c r="L476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7"/>
  <c r="L560"/>
  <c r="L561"/>
  <c r="L562"/>
  <c r="L563"/>
  <c r="L564"/>
  <c r="L565"/>
  <c r="L567"/>
  <c r="L569"/>
  <c r="L570"/>
  <c r="L571"/>
  <c r="L572"/>
  <c r="L573"/>
  <c r="L574"/>
  <c r="L575"/>
  <c r="L576"/>
  <c r="L578"/>
  <c r="L581"/>
  <c r="L582"/>
  <c r="L583"/>
  <c r="L584"/>
  <c r="L585"/>
  <c r="L586"/>
  <c r="L588"/>
  <c r="L589"/>
  <c r="L590"/>
  <c r="H141" l="1"/>
  <c r="H456" l="1"/>
  <c r="H410"/>
  <c r="H152"/>
  <c r="H153"/>
  <c r="H154"/>
  <c r="AM22" i="32"/>
  <c r="AM18"/>
  <c r="AM22" i="22"/>
  <c r="AM18"/>
  <c r="Z34"/>
  <c r="Z25"/>
  <c r="Z21"/>
  <c r="Z34" i="32"/>
  <c r="Z21"/>
  <c r="Z25" s="1"/>
  <c r="AF25" s="1"/>
  <c r="AN22" i="28"/>
  <c r="AA21"/>
  <c r="AA34"/>
  <c r="BF52" i="3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1"/>
  <c r="AS52"/>
  <c r="AS51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4"/>
  <c r="AS23"/>
  <c r="AS22"/>
  <c r="AS21"/>
  <c r="AS20"/>
  <c r="AS19"/>
  <c r="AS18"/>
  <c r="AS17"/>
  <c r="AS16"/>
  <c r="AS15"/>
  <c r="AS14"/>
  <c r="AS13"/>
  <c r="AS11"/>
  <c r="AF52"/>
  <c r="AF51"/>
  <c r="AF49"/>
  <c r="AF48"/>
  <c r="AF47"/>
  <c r="AF46"/>
  <c r="AF45"/>
  <c r="AF44"/>
  <c r="AF43"/>
  <c r="AF42"/>
  <c r="AF41"/>
  <c r="AF40"/>
  <c r="AF39"/>
  <c r="AF38"/>
  <c r="AF36"/>
  <c r="AF35"/>
  <c r="AF34"/>
  <c r="AF33"/>
  <c r="AF32"/>
  <c r="AF31"/>
  <c r="AF30"/>
  <c r="AF29"/>
  <c r="AF28"/>
  <c r="AF27"/>
  <c r="AF26"/>
  <c r="AF24"/>
  <c r="AF23"/>
  <c r="AF22"/>
  <c r="AF21"/>
  <c r="AF20"/>
  <c r="AF19"/>
  <c r="AF18"/>
  <c r="AF17"/>
  <c r="AF16"/>
  <c r="AF15"/>
  <c r="AF14"/>
  <c r="AF13"/>
  <c r="AF11"/>
  <c r="S52"/>
  <c r="S5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7"/>
  <c r="S16"/>
  <c r="S15"/>
  <c r="S14"/>
  <c r="S13"/>
  <c r="S11"/>
  <c r="AM25" i="28" l="1"/>
  <c r="AM22"/>
  <c r="AM13"/>
  <c r="AM18" s="1"/>
  <c r="AL25" i="32"/>
  <c r="AL22"/>
  <c r="AL13"/>
  <c r="AL18" s="1"/>
  <c r="Z37" i="28"/>
  <c r="Z34"/>
  <c r="Z21"/>
  <c r="Z25" s="1"/>
  <c r="Z18"/>
  <c r="Y37" i="32"/>
  <c r="Y34"/>
  <c r="Y21"/>
  <c r="Y25" s="1"/>
  <c r="Y18"/>
  <c r="M25" i="28"/>
  <c r="M17"/>
  <c r="M13"/>
  <c r="M18" s="1"/>
  <c r="L25" i="32"/>
  <c r="L17"/>
  <c r="L13"/>
  <c r="L18" s="1"/>
  <c r="AJ15"/>
  <c r="M18"/>
  <c r="S18" s="1"/>
  <c r="O18"/>
  <c r="P18"/>
  <c r="Q18"/>
  <c r="R18"/>
  <c r="T18"/>
  <c r="U18"/>
  <c r="V18"/>
  <c r="W18"/>
  <c r="X18"/>
  <c r="Z18"/>
  <c r="AA18"/>
  <c r="AB18"/>
  <c r="AC18"/>
  <c r="AD18"/>
  <c r="AE18"/>
  <c r="AG18"/>
  <c r="AH18"/>
  <c r="AI18"/>
  <c r="AJ18"/>
  <c r="AK18"/>
  <c r="AP18"/>
  <c r="AQ18"/>
  <c r="AR18"/>
  <c r="T21"/>
  <c r="V21"/>
  <c r="W21"/>
  <c r="X21"/>
  <c r="X25" s="1"/>
  <c r="AG22"/>
  <c r="AG25" s="1"/>
  <c r="AH22"/>
  <c r="AI22"/>
  <c r="AJ22"/>
  <c r="AJ25" s="1"/>
  <c r="AK22"/>
  <c r="AK25" s="1"/>
  <c r="M25"/>
  <c r="N25"/>
  <c r="O25"/>
  <c r="P25"/>
  <c r="Q25"/>
  <c r="R25"/>
  <c r="T25"/>
  <c r="U25"/>
  <c r="V25"/>
  <c r="W25"/>
  <c r="AC25"/>
  <c r="AD25"/>
  <c r="AE25"/>
  <c r="AH25"/>
  <c r="AI25"/>
  <c r="AM25"/>
  <c r="AO25"/>
  <c r="AP25"/>
  <c r="AQ25"/>
  <c r="AR25"/>
  <c r="V34"/>
  <c r="V37" s="1"/>
  <c r="W34"/>
  <c r="X34"/>
  <c r="L37"/>
  <c r="M37"/>
  <c r="N37"/>
  <c r="O37"/>
  <c r="P37"/>
  <c r="Q37"/>
  <c r="R37"/>
  <c r="T37"/>
  <c r="U37"/>
  <c r="X37"/>
  <c r="Z37"/>
  <c r="AF37" s="1"/>
  <c r="AA37"/>
  <c r="AC37"/>
  <c r="AD37"/>
  <c r="AE37"/>
  <c r="AG37"/>
  <c r="AH37"/>
  <c r="AI37"/>
  <c r="AJ37"/>
  <c r="AK37"/>
  <c r="AL37"/>
  <c r="AM37"/>
  <c r="AN37"/>
  <c r="AO37"/>
  <c r="AP37"/>
  <c r="AQ37"/>
  <c r="AR37"/>
  <c r="L43"/>
  <c r="M43"/>
  <c r="N43"/>
  <c r="O43"/>
  <c r="P43"/>
  <c r="Q43"/>
  <c r="R43"/>
  <c r="T43"/>
  <c r="U43"/>
  <c r="V43"/>
  <c r="W43"/>
  <c r="X43"/>
  <c r="Y43"/>
  <c r="Z43"/>
  <c r="AA43"/>
  <c r="AB43"/>
  <c r="AC43"/>
  <c r="AD43"/>
  <c r="AE43"/>
  <c r="AG43"/>
  <c r="AH43"/>
  <c r="AI43"/>
  <c r="AJ43"/>
  <c r="AK43"/>
  <c r="AL43"/>
  <c r="AM43"/>
  <c r="AN43"/>
  <c r="AO43"/>
  <c r="AP43"/>
  <c r="AQ43"/>
  <c r="AR43"/>
  <c r="L47"/>
  <c r="M47"/>
  <c r="N47"/>
  <c r="O47"/>
  <c r="P47"/>
  <c r="Q47"/>
  <c r="R47"/>
  <c r="T47"/>
  <c r="U47"/>
  <c r="V47"/>
  <c r="W47"/>
  <c r="X47"/>
  <c r="Y47"/>
  <c r="Z47"/>
  <c r="AA47"/>
  <c r="AB47"/>
  <c r="AC47"/>
  <c r="AD47"/>
  <c r="AE47"/>
  <c r="AG47"/>
  <c r="AH47"/>
  <c r="AI47"/>
  <c r="AJ47"/>
  <c r="AK47"/>
  <c r="AL47"/>
  <c r="AM47"/>
  <c r="AN47"/>
  <c r="AO47"/>
  <c r="AP47"/>
  <c r="AQ47"/>
  <c r="AR47"/>
  <c r="H554" i="31"/>
  <c r="Q235"/>
  <c r="H234"/>
  <c r="H199"/>
  <c r="AL22" i="22"/>
  <c r="AL13"/>
  <c r="Y34"/>
  <c r="Y21"/>
  <c r="AS25" i="32" l="1"/>
  <c r="W37"/>
  <c r="L17" i="22"/>
  <c r="L13"/>
  <c r="D21" i="26"/>
  <c r="AK22" i="22" l="1"/>
  <c r="AK18"/>
  <c r="X34"/>
  <c r="X21"/>
  <c r="X25" s="1"/>
  <c r="K18"/>
  <c r="K13"/>
  <c r="K18" i="32"/>
  <c r="K13"/>
  <c r="AL22" i="28"/>
  <c r="Y21"/>
  <c r="Y34"/>
  <c r="L13"/>
  <c r="H23" i="2"/>
  <c r="H233" i="31" l="1"/>
  <c r="H232"/>
  <c r="H553"/>
  <c r="H552"/>
  <c r="G16" i="2"/>
  <c r="H198" i="31"/>
  <c r="H197"/>
  <c r="AJ22" i="22"/>
  <c r="AJ15"/>
  <c r="AJ18" s="1"/>
  <c r="W34"/>
  <c r="W21"/>
  <c r="W25" s="1"/>
  <c r="J17"/>
  <c r="J13"/>
  <c r="J17" i="32"/>
  <c r="J13"/>
  <c r="J18" s="1"/>
  <c r="AK15" i="28"/>
  <c r="AK22"/>
  <c r="X21"/>
  <c r="X34"/>
  <c r="K13"/>
  <c r="K17"/>
  <c r="H551" i="31"/>
  <c r="H550"/>
  <c r="H231"/>
  <c r="H230"/>
  <c r="H196"/>
  <c r="H195"/>
  <c r="H32"/>
  <c r="BF12" i="32"/>
  <c r="BF10"/>
  <c r="BF9"/>
  <c r="AS12"/>
  <c r="AS10"/>
  <c r="AS9"/>
  <c r="AF12"/>
  <c r="AF10"/>
  <c r="AF9"/>
  <c r="S12"/>
  <c r="S10"/>
  <c r="S9"/>
  <c r="E18" i="2" l="1"/>
  <c r="F17"/>
  <c r="E24"/>
  <c r="E20"/>
  <c r="AI22" i="22" l="1"/>
  <c r="AI18"/>
  <c r="V34"/>
  <c r="V25"/>
  <c r="V21"/>
  <c r="I17"/>
  <c r="I13"/>
  <c r="I17" i="32"/>
  <c r="I13"/>
  <c r="AJ22" i="28"/>
  <c r="W21"/>
  <c r="W34"/>
  <c r="J13"/>
  <c r="J17"/>
  <c r="H399" i="31" l="1"/>
  <c r="H398"/>
  <c r="H135"/>
  <c r="H134"/>
  <c r="H16"/>
  <c r="H278" l="1"/>
  <c r="H277"/>
  <c r="H276"/>
  <c r="H17" i="22" l="1"/>
  <c r="H13"/>
  <c r="H17" i="32"/>
  <c r="H13"/>
  <c r="I13" i="28"/>
  <c r="I17"/>
  <c r="AH22" i="22" l="1"/>
  <c r="AH18"/>
  <c r="AI22" i="28" l="1"/>
  <c r="C20" i="36" l="1"/>
  <c r="BE47" i="22" l="1"/>
  <c r="BD47"/>
  <c r="BC47"/>
  <c r="BB47"/>
  <c r="BA47"/>
  <c r="AZ47"/>
  <c r="AY47"/>
  <c r="AX47"/>
  <c r="AW47"/>
  <c r="AV47"/>
  <c r="AU47"/>
  <c r="AT47"/>
  <c r="AR47"/>
  <c r="AQ47"/>
  <c r="AP47"/>
  <c r="AO47"/>
  <c r="AN47"/>
  <c r="AM47"/>
  <c r="AL47"/>
  <c r="AK47"/>
  <c r="AJ47"/>
  <c r="AI47"/>
  <c r="AH47"/>
  <c r="AG47"/>
  <c r="AE47"/>
  <c r="AD47"/>
  <c r="AC47"/>
  <c r="AB47"/>
  <c r="AA47"/>
  <c r="Z47"/>
  <c r="Y47"/>
  <c r="X47"/>
  <c r="W47"/>
  <c r="V47"/>
  <c r="U47"/>
  <c r="T47"/>
  <c r="R47"/>
  <c r="Q47"/>
  <c r="P47"/>
  <c r="O47"/>
  <c r="N47"/>
  <c r="M47"/>
  <c r="L47"/>
  <c r="K47"/>
  <c r="J47"/>
  <c r="I47"/>
  <c r="H47"/>
  <c r="G47"/>
  <c r="BE43"/>
  <c r="BD43"/>
  <c r="BC43"/>
  <c r="BB43"/>
  <c r="BA43"/>
  <c r="AZ43"/>
  <c r="AY43"/>
  <c r="AX43"/>
  <c r="AW43"/>
  <c r="AV43"/>
  <c r="AU43"/>
  <c r="AT43"/>
  <c r="AR43"/>
  <c r="AQ43"/>
  <c r="AP43"/>
  <c r="AO43"/>
  <c r="AN43"/>
  <c r="AM43"/>
  <c r="AL43"/>
  <c r="AK43"/>
  <c r="AJ43"/>
  <c r="AI43"/>
  <c r="AH43"/>
  <c r="AG43"/>
  <c r="AE43"/>
  <c r="AD43"/>
  <c r="AC43"/>
  <c r="AB43"/>
  <c r="AA43"/>
  <c r="Z43"/>
  <c r="Y43"/>
  <c r="X43"/>
  <c r="W43"/>
  <c r="V43"/>
  <c r="U43"/>
  <c r="T43"/>
  <c r="R43"/>
  <c r="Q43"/>
  <c r="P43"/>
  <c r="O43"/>
  <c r="N43"/>
  <c r="M43"/>
  <c r="L43"/>
  <c r="K43"/>
  <c r="J43"/>
  <c r="I43"/>
  <c r="H43"/>
  <c r="G43"/>
  <c r="BE37"/>
  <c r="BD37"/>
  <c r="BC37"/>
  <c r="BB37"/>
  <c r="BA37"/>
  <c r="BF37" s="1"/>
  <c r="AZ37"/>
  <c r="AY37"/>
  <c r="AX37"/>
  <c r="AW37"/>
  <c r="AV37"/>
  <c r="AU37"/>
  <c r="AT37"/>
  <c r="AR37"/>
  <c r="AQ37"/>
  <c r="AP37"/>
  <c r="AO37"/>
  <c r="AN37"/>
  <c r="AM37"/>
  <c r="AL37"/>
  <c r="AK37"/>
  <c r="AJ37"/>
  <c r="AI37"/>
  <c r="AH37"/>
  <c r="AG37"/>
  <c r="AE37"/>
  <c r="AD37"/>
  <c r="AC37"/>
  <c r="AB37"/>
  <c r="AA37"/>
  <c r="Z37"/>
  <c r="Y37"/>
  <c r="X37"/>
  <c r="W37"/>
  <c r="V37"/>
  <c r="U37"/>
  <c r="T37"/>
  <c r="R37"/>
  <c r="Q37"/>
  <c r="P37"/>
  <c r="O37"/>
  <c r="N37"/>
  <c r="M37"/>
  <c r="L37"/>
  <c r="K37"/>
  <c r="J37"/>
  <c r="I37"/>
  <c r="H37"/>
  <c r="G37"/>
  <c r="BE25"/>
  <c r="BD25"/>
  <c r="BC25"/>
  <c r="BB25"/>
  <c r="BA25"/>
  <c r="BF25" s="1"/>
  <c r="AZ25"/>
  <c r="AY25"/>
  <c r="AX25"/>
  <c r="AW25"/>
  <c r="AV25"/>
  <c r="AU25"/>
  <c r="AT25"/>
  <c r="AR25"/>
  <c r="AQ25"/>
  <c r="AP25"/>
  <c r="AO25"/>
  <c r="AM25"/>
  <c r="AL25"/>
  <c r="AK25"/>
  <c r="AK50" s="1"/>
  <c r="AJ25"/>
  <c r="AI25"/>
  <c r="AH25"/>
  <c r="AE25"/>
  <c r="AD25"/>
  <c r="AC25"/>
  <c r="AB25"/>
  <c r="Y25"/>
  <c r="U25"/>
  <c r="T25"/>
  <c r="R25"/>
  <c r="Q25"/>
  <c r="P25"/>
  <c r="O25"/>
  <c r="N25"/>
  <c r="M25"/>
  <c r="L25"/>
  <c r="K25"/>
  <c r="J25"/>
  <c r="I25"/>
  <c r="H25"/>
  <c r="G25"/>
  <c r="AG22"/>
  <c r="AG25" s="1"/>
  <c r="T21"/>
  <c r="BE18"/>
  <c r="BE50" s="1"/>
  <c r="BD18"/>
  <c r="BD50" s="1"/>
  <c r="BC18"/>
  <c r="BC50" s="1"/>
  <c r="BB18"/>
  <c r="BB50" s="1"/>
  <c r="BA18"/>
  <c r="BA50" s="1"/>
  <c r="BF50" s="1"/>
  <c r="AZ18"/>
  <c r="AY18"/>
  <c r="AY50" s="1"/>
  <c r="AX18"/>
  <c r="AX50" s="1"/>
  <c r="AW18"/>
  <c r="AW50" s="1"/>
  <c r="AV18"/>
  <c r="AV50" s="1"/>
  <c r="AU18"/>
  <c r="AU50" s="1"/>
  <c r="AT18"/>
  <c r="AR18"/>
  <c r="AR50" s="1"/>
  <c r="AQ18"/>
  <c r="AQ50" s="1"/>
  <c r="AP18"/>
  <c r="AP50" s="1"/>
  <c r="AO18"/>
  <c r="AO50" s="1"/>
  <c r="AN50"/>
  <c r="AM50"/>
  <c r="AL18"/>
  <c r="AI50"/>
  <c r="AG18"/>
  <c r="AG50" s="1"/>
  <c r="AE18"/>
  <c r="AE50" s="1"/>
  <c r="AD18"/>
  <c r="AD50" s="1"/>
  <c r="AC18"/>
  <c r="AC50" s="1"/>
  <c r="AB18"/>
  <c r="AA18"/>
  <c r="Z18"/>
  <c r="Y18"/>
  <c r="X18"/>
  <c r="X50" s="1"/>
  <c r="W18"/>
  <c r="V18"/>
  <c r="U18"/>
  <c r="U50" s="1"/>
  <c r="T18"/>
  <c r="T50" s="1"/>
  <c r="R18"/>
  <c r="R50" s="1"/>
  <c r="Q18"/>
  <c r="Q50" s="1"/>
  <c r="P18"/>
  <c r="P50" s="1"/>
  <c r="O18"/>
  <c r="N50"/>
  <c r="M18"/>
  <c r="L18"/>
  <c r="K50"/>
  <c r="J18"/>
  <c r="I18"/>
  <c r="H18"/>
  <c r="G17"/>
  <c r="G18" s="1"/>
  <c r="G13"/>
  <c r="BE47" i="32"/>
  <c r="BD47"/>
  <c r="BC47"/>
  <c r="BB47"/>
  <c r="BA47"/>
  <c r="AZ47"/>
  <c r="AY47"/>
  <c r="AX47"/>
  <c r="AW47"/>
  <c r="AV47"/>
  <c r="AU47"/>
  <c r="AT47"/>
  <c r="K47"/>
  <c r="J47"/>
  <c r="I47"/>
  <c r="H47"/>
  <c r="G47"/>
  <c r="BE43"/>
  <c r="BD43"/>
  <c r="BC43"/>
  <c r="BB43"/>
  <c r="BA43"/>
  <c r="AZ43"/>
  <c r="AY43"/>
  <c r="AX43"/>
  <c r="AW43"/>
  <c r="AV43"/>
  <c r="AU43"/>
  <c r="AT43"/>
  <c r="K43"/>
  <c r="J43"/>
  <c r="I43"/>
  <c r="H43"/>
  <c r="G43"/>
  <c r="BE37"/>
  <c r="BD37"/>
  <c r="BC37"/>
  <c r="BB37"/>
  <c r="BA37"/>
  <c r="AZ37"/>
  <c r="AY37"/>
  <c r="AX37"/>
  <c r="AW37"/>
  <c r="AV37"/>
  <c r="AU37"/>
  <c r="AT37"/>
  <c r="K37"/>
  <c r="J37"/>
  <c r="I37"/>
  <c r="H37"/>
  <c r="G37"/>
  <c r="BE25"/>
  <c r="BD25"/>
  <c r="BC25"/>
  <c r="BB25"/>
  <c r="BA25"/>
  <c r="AZ25"/>
  <c r="AY25"/>
  <c r="AX25"/>
  <c r="AW25"/>
  <c r="AV25"/>
  <c r="AU25"/>
  <c r="AT25"/>
  <c r="K25"/>
  <c r="J25"/>
  <c r="I25"/>
  <c r="H25"/>
  <c r="G25"/>
  <c r="BE18"/>
  <c r="BE50" s="1"/>
  <c r="BD18"/>
  <c r="BD50" s="1"/>
  <c r="BC18"/>
  <c r="BC50" s="1"/>
  <c r="BB18"/>
  <c r="BB50" s="1"/>
  <c r="BA18"/>
  <c r="BA50" s="1"/>
  <c r="AZ18"/>
  <c r="AZ50" s="1"/>
  <c r="AY18"/>
  <c r="AY50" s="1"/>
  <c r="AX18"/>
  <c r="AX50" s="1"/>
  <c r="AW18"/>
  <c r="AW50" s="1"/>
  <c r="AV18"/>
  <c r="AU18"/>
  <c r="AU50" s="1"/>
  <c r="AT18"/>
  <c r="AR50"/>
  <c r="AQ50"/>
  <c r="AP50"/>
  <c r="AO50"/>
  <c r="AN50"/>
  <c r="AM50"/>
  <c r="AL50"/>
  <c r="AK50"/>
  <c r="AJ50"/>
  <c r="AI50"/>
  <c r="AH50"/>
  <c r="AG50"/>
  <c r="AE50"/>
  <c r="AD50"/>
  <c r="AC50"/>
  <c r="AB50"/>
  <c r="AA50"/>
  <c r="Z50"/>
  <c r="Y50"/>
  <c r="X50"/>
  <c r="W50"/>
  <c r="V50"/>
  <c r="T50"/>
  <c r="R50"/>
  <c r="Q50"/>
  <c r="P50"/>
  <c r="O50"/>
  <c r="N50"/>
  <c r="M50"/>
  <c r="S50" s="1"/>
  <c r="L50"/>
  <c r="K50"/>
  <c r="J50"/>
  <c r="I18"/>
  <c r="I50" s="1"/>
  <c r="H18"/>
  <c r="H50" s="1"/>
  <c r="G18"/>
  <c r="G17"/>
  <c r="G13"/>
  <c r="H13" i="28"/>
  <c r="H17"/>
  <c r="AH22"/>
  <c r="U21"/>
  <c r="F220" i="7"/>
  <c r="O50" i="22" l="1"/>
  <c r="S50" s="1"/>
  <c r="S18"/>
  <c r="S37"/>
  <c r="S25"/>
  <c r="AB50"/>
  <c r="AS50" i="32"/>
  <c r="AA50" i="22"/>
  <c r="AF50" i="32"/>
  <c r="AZ50" i="22"/>
  <c r="Z50"/>
  <c r="M50"/>
  <c r="AL50"/>
  <c r="Y50"/>
  <c r="L50"/>
  <c r="AJ50"/>
  <c r="W50"/>
  <c r="J50"/>
  <c r="AV50" i="32"/>
  <c r="V50" i="22"/>
  <c r="I50"/>
  <c r="H50"/>
  <c r="AH50"/>
  <c r="U50" i="32"/>
  <c r="G50" i="22"/>
  <c r="AT50"/>
  <c r="G50" i="32"/>
  <c r="AT50"/>
  <c r="G51" i="22" l="1"/>
  <c r="G51" i="32"/>
  <c r="H397" i="31"/>
  <c r="H275"/>
  <c r="H349"/>
  <c r="H84" l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A4" l="1"/>
  <c r="G108" i="7"/>
  <c r="G101"/>
  <c r="G48"/>
  <c r="G25"/>
  <c r="A4"/>
  <c r="B4" i="23"/>
  <c r="B4" i="27" l="1"/>
  <c r="G300" i="8"/>
  <c r="G293"/>
  <c r="G131"/>
  <c r="G281" s="1"/>
  <c r="G93"/>
  <c r="G79"/>
  <c r="G59"/>
  <c r="G42"/>
  <c r="G30"/>
  <c r="G220" i="7"/>
  <c r="G216"/>
  <c r="G210"/>
  <c r="G201"/>
  <c r="G176"/>
  <c r="G168"/>
  <c r="G154"/>
  <c r="G150"/>
  <c r="G140"/>
  <c r="G137"/>
  <c r="G132"/>
  <c r="G119"/>
  <c r="G113"/>
  <c r="G95"/>
  <c r="G87"/>
  <c r="G83"/>
  <c r="G74"/>
  <c r="G94" i="8" l="1"/>
  <c r="G282" s="1"/>
  <c r="G289" s="1"/>
  <c r="G301" s="1"/>
  <c r="G306" s="1"/>
  <c r="G222" i="7" s="1"/>
  <c r="G228" s="1"/>
  <c r="G211"/>
  <c r="G169"/>
  <c r="G88"/>
  <c r="G229" l="1"/>
  <c r="G177"/>
  <c r="C35" i="36"/>
  <c r="C34"/>
  <c r="C32"/>
  <c r="C22"/>
  <c r="E29" s="1"/>
  <c r="Y420" i="35" l="1"/>
  <c r="X420"/>
  <c r="W420"/>
  <c r="V420"/>
  <c r="S420"/>
  <c r="R420"/>
  <c r="L420"/>
  <c r="H420"/>
  <c r="H422" s="1"/>
  <c r="G420"/>
  <c r="F420"/>
  <c r="F421" s="1"/>
  <c r="D420"/>
  <c r="J418"/>
  <c r="M418" s="1"/>
  <c r="I418"/>
  <c r="K418" s="1"/>
  <c r="J417"/>
  <c r="M417" s="1"/>
  <c r="I417"/>
  <c r="K417" s="1"/>
  <c r="J416"/>
  <c r="M416" s="1"/>
  <c r="I416"/>
  <c r="K416" s="1"/>
  <c r="J415"/>
  <c r="M415" s="1"/>
  <c r="I415"/>
  <c r="K415" s="1"/>
  <c r="J414"/>
  <c r="M414" s="1"/>
  <c r="I414"/>
  <c r="K414" s="1"/>
  <c r="J413"/>
  <c r="M413" s="1"/>
  <c r="I413"/>
  <c r="K413" s="1"/>
  <c r="J412"/>
  <c r="M412" s="1"/>
  <c r="I412"/>
  <c r="K412" s="1"/>
  <c r="J410"/>
  <c r="M410" s="1"/>
  <c r="I410"/>
  <c r="K410" s="1"/>
  <c r="J409"/>
  <c r="M409" s="1"/>
  <c r="I409"/>
  <c r="K409" s="1"/>
  <c r="J407"/>
  <c r="M407" s="1"/>
  <c r="I407"/>
  <c r="K407" s="1"/>
  <c r="J406"/>
  <c r="M406" s="1"/>
  <c r="I406"/>
  <c r="K406" s="1"/>
  <c r="J405"/>
  <c r="M405" s="1"/>
  <c r="I405"/>
  <c r="K405" s="1"/>
  <c r="J404"/>
  <c r="M404" s="1"/>
  <c r="I404"/>
  <c r="K404" s="1"/>
  <c r="J401"/>
  <c r="M401" s="1"/>
  <c r="I401"/>
  <c r="K401" s="1"/>
  <c r="J400"/>
  <c r="M400" s="1"/>
  <c r="I400"/>
  <c r="K400" s="1"/>
  <c r="J399"/>
  <c r="M399" s="1"/>
  <c r="I399"/>
  <c r="K399" s="1"/>
  <c r="J398"/>
  <c r="M398" s="1"/>
  <c r="I398"/>
  <c r="K398" s="1"/>
  <c r="J397"/>
  <c r="M397" s="1"/>
  <c r="I397"/>
  <c r="K397" s="1"/>
  <c r="J395"/>
  <c r="M395" s="1"/>
  <c r="I395"/>
  <c r="K395" s="1"/>
  <c r="J394"/>
  <c r="M394" s="1"/>
  <c r="I394"/>
  <c r="K394" s="1"/>
  <c r="J393"/>
  <c r="M393" s="1"/>
  <c r="I393"/>
  <c r="K393" s="1"/>
  <c r="J391"/>
  <c r="M391" s="1"/>
  <c r="I391"/>
  <c r="K391" s="1"/>
  <c r="J389"/>
  <c r="M389" s="1"/>
  <c r="I389"/>
  <c r="K389" s="1"/>
  <c r="J388"/>
  <c r="M388" s="1"/>
  <c r="I388"/>
  <c r="K388" s="1"/>
  <c r="J387"/>
  <c r="M387" s="1"/>
  <c r="I387"/>
  <c r="K387" s="1"/>
  <c r="J386"/>
  <c r="M386" s="1"/>
  <c r="I386"/>
  <c r="K386" s="1"/>
  <c r="J385"/>
  <c r="M385" s="1"/>
  <c r="I385"/>
  <c r="K385" s="1"/>
  <c r="J384"/>
  <c r="M384" s="1"/>
  <c r="I384"/>
  <c r="K384" s="1"/>
  <c r="J382"/>
  <c r="M382" s="1"/>
  <c r="I382"/>
  <c r="K382" s="1"/>
  <c r="J381"/>
  <c r="M381" s="1"/>
  <c r="I381"/>
  <c r="K381" s="1"/>
  <c r="J380"/>
  <c r="M380" s="1"/>
  <c r="I380"/>
  <c r="K380" s="1"/>
  <c r="J379"/>
  <c r="M379" s="1"/>
  <c r="I379"/>
  <c r="K379" s="1"/>
  <c r="J378"/>
  <c r="M378" s="1"/>
  <c r="I378"/>
  <c r="K378" s="1"/>
  <c r="J377"/>
  <c r="M377" s="1"/>
  <c r="I377"/>
  <c r="K377" s="1"/>
  <c r="J376"/>
  <c r="M376" s="1"/>
  <c r="I376"/>
  <c r="K376" s="1"/>
  <c r="J375"/>
  <c r="M375" s="1"/>
  <c r="I375"/>
  <c r="K375" s="1"/>
  <c r="J374"/>
  <c r="M374" s="1"/>
  <c r="I374"/>
  <c r="K374" s="1"/>
  <c r="J373"/>
  <c r="M373" s="1"/>
  <c r="I373"/>
  <c r="K373" s="1"/>
  <c r="J372"/>
  <c r="M372" s="1"/>
  <c r="I372"/>
  <c r="K372" s="1"/>
  <c r="J371"/>
  <c r="M371" s="1"/>
  <c r="I371"/>
  <c r="K371" s="1"/>
  <c r="J370"/>
  <c r="M370" s="1"/>
  <c r="I370"/>
  <c r="K370" s="1"/>
  <c r="J369"/>
  <c r="M369" s="1"/>
  <c r="I369"/>
  <c r="K369" s="1"/>
  <c r="J368"/>
  <c r="M368" s="1"/>
  <c r="I368"/>
  <c r="K368" s="1"/>
  <c r="J367"/>
  <c r="M367" s="1"/>
  <c r="I367"/>
  <c r="K367" s="1"/>
  <c r="J366"/>
  <c r="M366" s="1"/>
  <c r="I366"/>
  <c r="K366" s="1"/>
  <c r="J365"/>
  <c r="M365" s="1"/>
  <c r="I365"/>
  <c r="K365" s="1"/>
  <c r="J364"/>
  <c r="M364" s="1"/>
  <c r="I364"/>
  <c r="K364" s="1"/>
  <c r="J363"/>
  <c r="M363" s="1"/>
  <c r="I363"/>
  <c r="K363" s="1"/>
  <c r="J362"/>
  <c r="M362" s="1"/>
  <c r="I362"/>
  <c r="K362" s="1"/>
  <c r="J361"/>
  <c r="M361" s="1"/>
  <c r="I361"/>
  <c r="K361" s="1"/>
  <c r="J360"/>
  <c r="M360" s="1"/>
  <c r="I360"/>
  <c r="K360" s="1"/>
  <c r="J359"/>
  <c r="M359" s="1"/>
  <c r="I359"/>
  <c r="K359" s="1"/>
  <c r="J358"/>
  <c r="M358" s="1"/>
  <c r="I358"/>
  <c r="K358" s="1"/>
  <c r="J357"/>
  <c r="M357" s="1"/>
  <c r="I357"/>
  <c r="K357" s="1"/>
  <c r="J356"/>
  <c r="M356" s="1"/>
  <c r="I356"/>
  <c r="K356" s="1"/>
  <c r="J355"/>
  <c r="M355" s="1"/>
  <c r="I355"/>
  <c r="K355" s="1"/>
  <c r="J354"/>
  <c r="M354" s="1"/>
  <c r="I354"/>
  <c r="K354" s="1"/>
  <c r="J353"/>
  <c r="M353" s="1"/>
  <c r="I353"/>
  <c r="K353" s="1"/>
  <c r="J352"/>
  <c r="M352" s="1"/>
  <c r="I352"/>
  <c r="K352" s="1"/>
  <c r="J351"/>
  <c r="M351" s="1"/>
  <c r="I351"/>
  <c r="K351" s="1"/>
  <c r="J350"/>
  <c r="M350" s="1"/>
  <c r="I350"/>
  <c r="K350" s="1"/>
  <c r="J349"/>
  <c r="M349" s="1"/>
  <c r="I349"/>
  <c r="K349" s="1"/>
  <c r="J348"/>
  <c r="M348" s="1"/>
  <c r="I348"/>
  <c r="K348" s="1"/>
  <c r="J347"/>
  <c r="M347" s="1"/>
  <c r="I347"/>
  <c r="K347" s="1"/>
  <c r="J346"/>
  <c r="M346" s="1"/>
  <c r="I346"/>
  <c r="K346" s="1"/>
  <c r="J345"/>
  <c r="M345" s="1"/>
  <c r="I345"/>
  <c r="K345" s="1"/>
  <c r="J344"/>
  <c r="M344" s="1"/>
  <c r="I344"/>
  <c r="K344" s="1"/>
  <c r="J343"/>
  <c r="M343" s="1"/>
  <c r="I343"/>
  <c r="K343" s="1"/>
  <c r="J342"/>
  <c r="M342" s="1"/>
  <c r="I342"/>
  <c r="K342" s="1"/>
  <c r="J341"/>
  <c r="M341" s="1"/>
  <c r="I341"/>
  <c r="K341" s="1"/>
  <c r="J340"/>
  <c r="M340" s="1"/>
  <c r="I340"/>
  <c r="K340" s="1"/>
  <c r="J339"/>
  <c r="M339" s="1"/>
  <c r="I339"/>
  <c r="K339" s="1"/>
  <c r="J338"/>
  <c r="M338" s="1"/>
  <c r="I338"/>
  <c r="K338" s="1"/>
  <c r="J337"/>
  <c r="M337" s="1"/>
  <c r="I337"/>
  <c r="K337" s="1"/>
  <c r="J336"/>
  <c r="M336" s="1"/>
  <c r="I336"/>
  <c r="K336" s="1"/>
  <c r="J335"/>
  <c r="M335" s="1"/>
  <c r="I335"/>
  <c r="K335" s="1"/>
  <c r="J334"/>
  <c r="M334" s="1"/>
  <c r="I334"/>
  <c r="K334" s="1"/>
  <c r="J333"/>
  <c r="M333" s="1"/>
  <c r="I333"/>
  <c r="K333" s="1"/>
  <c r="J332"/>
  <c r="M332" s="1"/>
  <c r="I332"/>
  <c r="K332" s="1"/>
  <c r="J331"/>
  <c r="M331" s="1"/>
  <c r="I331"/>
  <c r="K331" s="1"/>
  <c r="J330"/>
  <c r="M330" s="1"/>
  <c r="I330"/>
  <c r="K330" s="1"/>
  <c r="J329"/>
  <c r="M329" s="1"/>
  <c r="I329"/>
  <c r="K329" s="1"/>
  <c r="J327"/>
  <c r="M327" s="1"/>
  <c r="I327"/>
  <c r="K327" s="1"/>
  <c r="J326"/>
  <c r="M326" s="1"/>
  <c r="I326"/>
  <c r="K326" s="1"/>
  <c r="J325"/>
  <c r="M325" s="1"/>
  <c r="I325"/>
  <c r="K325" s="1"/>
  <c r="J324"/>
  <c r="M324" s="1"/>
  <c r="I324"/>
  <c r="K324" s="1"/>
  <c r="J323"/>
  <c r="M323" s="1"/>
  <c r="I323"/>
  <c r="K323" s="1"/>
  <c r="J322"/>
  <c r="M322" s="1"/>
  <c r="I322"/>
  <c r="K322" s="1"/>
  <c r="J321"/>
  <c r="M321" s="1"/>
  <c r="I321"/>
  <c r="K321" s="1"/>
  <c r="J320"/>
  <c r="M320" s="1"/>
  <c r="I320"/>
  <c r="K320" s="1"/>
  <c r="J319"/>
  <c r="M319" s="1"/>
  <c r="I319"/>
  <c r="K319" s="1"/>
  <c r="J318"/>
  <c r="M318" s="1"/>
  <c r="I318"/>
  <c r="K318" s="1"/>
  <c r="J317"/>
  <c r="M317" s="1"/>
  <c r="I317"/>
  <c r="K317" s="1"/>
  <c r="J316"/>
  <c r="M316" s="1"/>
  <c r="I316"/>
  <c r="K316" s="1"/>
  <c r="J315"/>
  <c r="M315" s="1"/>
  <c r="I315"/>
  <c r="K315" s="1"/>
  <c r="J314"/>
  <c r="M314" s="1"/>
  <c r="I314"/>
  <c r="K314" s="1"/>
  <c r="J313"/>
  <c r="M313" s="1"/>
  <c r="I313"/>
  <c r="K313" s="1"/>
  <c r="J312"/>
  <c r="M312" s="1"/>
  <c r="I312"/>
  <c r="K312" s="1"/>
  <c r="J311"/>
  <c r="M311" s="1"/>
  <c r="I311"/>
  <c r="K311" s="1"/>
  <c r="J310"/>
  <c r="M310" s="1"/>
  <c r="I310"/>
  <c r="K310" s="1"/>
  <c r="J309"/>
  <c r="M309" s="1"/>
  <c r="I309"/>
  <c r="K309" s="1"/>
  <c r="J308"/>
  <c r="M308" s="1"/>
  <c r="I308"/>
  <c r="K308" s="1"/>
  <c r="J307"/>
  <c r="M307" s="1"/>
  <c r="I307"/>
  <c r="K307" s="1"/>
  <c r="J306"/>
  <c r="M306" s="1"/>
  <c r="I306"/>
  <c r="K306" s="1"/>
  <c r="J305"/>
  <c r="M305" s="1"/>
  <c r="I305"/>
  <c r="K305" s="1"/>
  <c r="J304"/>
  <c r="M304" s="1"/>
  <c r="I304"/>
  <c r="K304" s="1"/>
  <c r="J302"/>
  <c r="M302" s="1"/>
  <c r="I302"/>
  <c r="K302" s="1"/>
  <c r="J300"/>
  <c r="M300" s="1"/>
  <c r="I300"/>
  <c r="K300" s="1"/>
  <c r="J299"/>
  <c r="M299" s="1"/>
  <c r="I299"/>
  <c r="K299" s="1"/>
  <c r="J298"/>
  <c r="M298" s="1"/>
  <c r="I298"/>
  <c r="K298" s="1"/>
  <c r="J296"/>
  <c r="M296" s="1"/>
  <c r="I296"/>
  <c r="K296" s="1"/>
  <c r="J295"/>
  <c r="M295" s="1"/>
  <c r="I295"/>
  <c r="K295" s="1"/>
  <c r="J294"/>
  <c r="M294" s="1"/>
  <c r="I294"/>
  <c r="K294" s="1"/>
  <c r="J293"/>
  <c r="M293" s="1"/>
  <c r="I293"/>
  <c r="K293" s="1"/>
  <c r="J292"/>
  <c r="M292" s="1"/>
  <c r="I292"/>
  <c r="K292" s="1"/>
  <c r="J291"/>
  <c r="M291" s="1"/>
  <c r="I291"/>
  <c r="K291" s="1"/>
  <c r="J290"/>
  <c r="M290" s="1"/>
  <c r="I290"/>
  <c r="K290" s="1"/>
  <c r="J289"/>
  <c r="M289" s="1"/>
  <c r="J288"/>
  <c r="M288" s="1"/>
  <c r="I288"/>
  <c r="K288" s="1"/>
  <c r="J286"/>
  <c r="M286" s="1"/>
  <c r="I286"/>
  <c r="K286" s="1"/>
  <c r="J285"/>
  <c r="M285" s="1"/>
  <c r="I285"/>
  <c r="K285" s="1"/>
  <c r="J284"/>
  <c r="M284" s="1"/>
  <c r="I284"/>
  <c r="K284" s="1"/>
  <c r="J283"/>
  <c r="M283" s="1"/>
  <c r="I283"/>
  <c r="K283" s="1"/>
  <c r="J282"/>
  <c r="M282" s="1"/>
  <c r="I282"/>
  <c r="K282" s="1"/>
  <c r="J275"/>
  <c r="M275" s="1"/>
  <c r="I275"/>
  <c r="K275" s="1"/>
  <c r="J274"/>
  <c r="M274" s="1"/>
  <c r="I274"/>
  <c r="K274" s="1"/>
  <c r="J273"/>
  <c r="M273" s="1"/>
  <c r="I273"/>
  <c r="K273" s="1"/>
  <c r="J272"/>
  <c r="M272" s="1"/>
  <c r="I272"/>
  <c r="K272" s="1"/>
  <c r="J271"/>
  <c r="M271" s="1"/>
  <c r="I271"/>
  <c r="K271" s="1"/>
  <c r="J270"/>
  <c r="M270" s="1"/>
  <c r="I270"/>
  <c r="K270" s="1"/>
  <c r="J269"/>
  <c r="M269" s="1"/>
  <c r="I269"/>
  <c r="K269" s="1"/>
  <c r="J267"/>
  <c r="M267" s="1"/>
  <c r="I267"/>
  <c r="K267" s="1"/>
  <c r="J266"/>
  <c r="M266" s="1"/>
  <c r="I266"/>
  <c r="K266" s="1"/>
  <c r="J265"/>
  <c r="M265" s="1"/>
  <c r="I265"/>
  <c r="K265" s="1"/>
  <c r="J263"/>
  <c r="M263" s="1"/>
  <c r="I263"/>
  <c r="K263" s="1"/>
  <c r="J262"/>
  <c r="M262" s="1"/>
  <c r="I262"/>
  <c r="K262" s="1"/>
  <c r="J260"/>
  <c r="M260" s="1"/>
  <c r="I260"/>
  <c r="K260" s="1"/>
  <c r="J259"/>
  <c r="M259" s="1"/>
  <c r="I259"/>
  <c r="K259" s="1"/>
  <c r="J258"/>
  <c r="M258" s="1"/>
  <c r="I258"/>
  <c r="K258" s="1"/>
  <c r="J255"/>
  <c r="M255" s="1"/>
  <c r="I255"/>
  <c r="K255" s="1"/>
  <c r="J254"/>
  <c r="M254" s="1"/>
  <c r="I254"/>
  <c r="K254" s="1"/>
  <c r="J253"/>
  <c r="M253" s="1"/>
  <c r="I253"/>
  <c r="K253" s="1"/>
  <c r="J251"/>
  <c r="M251" s="1"/>
  <c r="I251"/>
  <c r="K251" s="1"/>
  <c r="J250"/>
  <c r="M250" s="1"/>
  <c r="I250"/>
  <c r="K250" s="1"/>
  <c r="J249"/>
  <c r="M249" s="1"/>
  <c r="I249"/>
  <c r="K249" s="1"/>
  <c r="J248"/>
  <c r="M248" s="1"/>
  <c r="I248"/>
  <c r="K248" s="1"/>
  <c r="J247"/>
  <c r="M247" s="1"/>
  <c r="I247"/>
  <c r="K247" s="1"/>
  <c r="J246"/>
  <c r="M246" s="1"/>
  <c r="I246"/>
  <c r="K246" s="1"/>
  <c r="J245"/>
  <c r="M245" s="1"/>
  <c r="I245"/>
  <c r="K245" s="1"/>
  <c r="J243"/>
  <c r="M243" s="1"/>
  <c r="I243"/>
  <c r="K243" s="1"/>
  <c r="J242"/>
  <c r="M242" s="1"/>
  <c r="I242"/>
  <c r="K242" s="1"/>
  <c r="J241"/>
  <c r="M241" s="1"/>
  <c r="I241"/>
  <c r="K241" s="1"/>
  <c r="J240"/>
  <c r="M240" s="1"/>
  <c r="I240"/>
  <c r="K240" s="1"/>
  <c r="J239"/>
  <c r="M239" s="1"/>
  <c r="I239"/>
  <c r="K239" s="1"/>
  <c r="J238"/>
  <c r="M238" s="1"/>
  <c r="I238"/>
  <c r="K238" s="1"/>
  <c r="J237"/>
  <c r="M237" s="1"/>
  <c r="I237"/>
  <c r="K237" s="1"/>
  <c r="J236"/>
  <c r="M236" s="1"/>
  <c r="I236"/>
  <c r="K236" s="1"/>
  <c r="J235"/>
  <c r="M235" s="1"/>
  <c r="I235"/>
  <c r="K235" s="1"/>
  <c r="J234"/>
  <c r="M234" s="1"/>
  <c r="I234"/>
  <c r="K234" s="1"/>
  <c r="J233"/>
  <c r="M233" s="1"/>
  <c r="I233"/>
  <c r="K233" s="1"/>
  <c r="J232"/>
  <c r="M232" s="1"/>
  <c r="I232"/>
  <c r="K232" s="1"/>
  <c r="J231"/>
  <c r="M231" s="1"/>
  <c r="I231"/>
  <c r="K231" s="1"/>
  <c r="J230"/>
  <c r="M230" s="1"/>
  <c r="I230"/>
  <c r="K230" s="1"/>
  <c r="J229"/>
  <c r="M229" s="1"/>
  <c r="I229"/>
  <c r="K229" s="1"/>
  <c r="J228"/>
  <c r="M228" s="1"/>
  <c r="I228"/>
  <c r="K228" s="1"/>
  <c r="J227"/>
  <c r="M227" s="1"/>
  <c r="I227"/>
  <c r="K227" s="1"/>
  <c r="J226"/>
  <c r="M226" s="1"/>
  <c r="I226"/>
  <c r="K226" s="1"/>
  <c r="J225"/>
  <c r="M225" s="1"/>
  <c r="I225"/>
  <c r="K225" s="1"/>
  <c r="J224"/>
  <c r="M224" s="1"/>
  <c r="I224"/>
  <c r="K224" s="1"/>
  <c r="J223"/>
  <c r="M223" s="1"/>
  <c r="I223"/>
  <c r="K223" s="1"/>
  <c r="J222"/>
  <c r="M222" s="1"/>
  <c r="I222"/>
  <c r="K222" s="1"/>
  <c r="J221"/>
  <c r="M221" s="1"/>
  <c r="I221"/>
  <c r="K221" s="1"/>
  <c r="J220"/>
  <c r="M220" s="1"/>
  <c r="I220"/>
  <c r="K220" s="1"/>
  <c r="J219"/>
  <c r="M219" s="1"/>
  <c r="I219"/>
  <c r="K219" s="1"/>
  <c r="J218"/>
  <c r="M218" s="1"/>
  <c r="I218"/>
  <c r="K218" s="1"/>
  <c r="J217"/>
  <c r="M217" s="1"/>
  <c r="I217"/>
  <c r="K217" s="1"/>
  <c r="J216"/>
  <c r="M216" s="1"/>
  <c r="I216"/>
  <c r="K216" s="1"/>
  <c r="J215"/>
  <c r="M215" s="1"/>
  <c r="I215"/>
  <c r="K215" s="1"/>
  <c r="J214"/>
  <c r="M214" s="1"/>
  <c r="I214"/>
  <c r="K214" s="1"/>
  <c r="J213"/>
  <c r="M213" s="1"/>
  <c r="I213"/>
  <c r="K213" s="1"/>
  <c r="J212"/>
  <c r="M212" s="1"/>
  <c r="I212"/>
  <c r="K212" s="1"/>
  <c r="J211"/>
  <c r="M211" s="1"/>
  <c r="I211"/>
  <c r="K211" s="1"/>
  <c r="J210"/>
  <c r="M210" s="1"/>
  <c r="I210"/>
  <c r="K210" s="1"/>
  <c r="J209"/>
  <c r="M209" s="1"/>
  <c r="I209"/>
  <c r="K209" s="1"/>
  <c r="J208"/>
  <c r="M208" s="1"/>
  <c r="I208"/>
  <c r="K208" s="1"/>
  <c r="J207"/>
  <c r="M207" s="1"/>
  <c r="I207"/>
  <c r="K207" s="1"/>
  <c r="J206"/>
  <c r="M206" s="1"/>
  <c r="I206"/>
  <c r="K206" s="1"/>
  <c r="J205"/>
  <c r="M205" s="1"/>
  <c r="I205"/>
  <c r="K205" s="1"/>
  <c r="J204"/>
  <c r="M204" s="1"/>
  <c r="I204"/>
  <c r="K204" s="1"/>
  <c r="J203"/>
  <c r="M203" s="1"/>
  <c r="I203"/>
  <c r="K203" s="1"/>
  <c r="J202"/>
  <c r="M202" s="1"/>
  <c r="I202"/>
  <c r="K202" s="1"/>
  <c r="J201"/>
  <c r="M201" s="1"/>
  <c r="I201"/>
  <c r="K201" s="1"/>
  <c r="J200"/>
  <c r="M200" s="1"/>
  <c r="I200"/>
  <c r="K200" s="1"/>
  <c r="J198"/>
  <c r="M198" s="1"/>
  <c r="I198"/>
  <c r="K198" s="1"/>
  <c r="J197"/>
  <c r="M197" s="1"/>
  <c r="I197"/>
  <c r="K197" s="1"/>
  <c r="J196"/>
  <c r="M196" s="1"/>
  <c r="I196"/>
  <c r="K196" s="1"/>
  <c r="J194"/>
  <c r="M194" s="1"/>
  <c r="I194"/>
  <c r="K194" s="1"/>
  <c r="J193"/>
  <c r="M193" s="1"/>
  <c r="I193"/>
  <c r="K193" s="1"/>
  <c r="J192"/>
  <c r="M192" s="1"/>
  <c r="I192"/>
  <c r="K192" s="1"/>
  <c r="J191"/>
  <c r="M191" s="1"/>
  <c r="I191"/>
  <c r="K191" s="1"/>
  <c r="J190"/>
  <c r="M190" s="1"/>
  <c r="I190"/>
  <c r="K190" s="1"/>
  <c r="J189"/>
  <c r="M189" s="1"/>
  <c r="I189"/>
  <c r="K189" s="1"/>
  <c r="J188"/>
  <c r="M188" s="1"/>
  <c r="I188"/>
  <c r="K188" s="1"/>
  <c r="J187"/>
  <c r="M187" s="1"/>
  <c r="I187"/>
  <c r="K187" s="1"/>
  <c r="J186"/>
  <c r="M186" s="1"/>
  <c r="I186"/>
  <c r="K186" s="1"/>
  <c r="J185"/>
  <c r="M185" s="1"/>
  <c r="I185"/>
  <c r="K185" s="1"/>
  <c r="J184"/>
  <c r="M184" s="1"/>
  <c r="I184"/>
  <c r="K184" s="1"/>
  <c r="J183"/>
  <c r="M183" s="1"/>
  <c r="I183"/>
  <c r="K183" s="1"/>
  <c r="J182"/>
  <c r="M182" s="1"/>
  <c r="I182"/>
  <c r="K182" s="1"/>
  <c r="J181"/>
  <c r="M181" s="1"/>
  <c r="I181"/>
  <c r="K181" s="1"/>
  <c r="J178"/>
  <c r="M178" s="1"/>
  <c r="I178"/>
  <c r="K178" s="1"/>
  <c r="J177"/>
  <c r="M177" s="1"/>
  <c r="I177"/>
  <c r="K177" s="1"/>
  <c r="J176"/>
  <c r="M176" s="1"/>
  <c r="I176"/>
  <c r="K176" s="1"/>
  <c r="J175"/>
  <c r="M175" s="1"/>
  <c r="I175"/>
  <c r="K175" s="1"/>
  <c r="J174"/>
  <c r="M174" s="1"/>
  <c r="I174"/>
  <c r="K174" s="1"/>
  <c r="J173"/>
  <c r="M173" s="1"/>
  <c r="I173"/>
  <c r="K173" s="1"/>
  <c r="J172"/>
  <c r="M172" s="1"/>
  <c r="I172"/>
  <c r="K172" s="1"/>
  <c r="J170"/>
  <c r="M170" s="1"/>
  <c r="I170"/>
  <c r="K170" s="1"/>
  <c r="J169"/>
  <c r="M169" s="1"/>
  <c r="I169"/>
  <c r="K169" s="1"/>
  <c r="J166"/>
  <c r="M166" s="1"/>
  <c r="I166"/>
  <c r="K166" s="1"/>
  <c r="J165"/>
  <c r="M165" s="1"/>
  <c r="I165"/>
  <c r="K165" s="1"/>
  <c r="J164"/>
  <c r="I164"/>
  <c r="F191" i="7"/>
  <c r="J159" i="35"/>
  <c r="M159" s="1"/>
  <c r="I159"/>
  <c r="K159" s="1"/>
  <c r="J157"/>
  <c r="M157" s="1"/>
  <c r="I157"/>
  <c r="K157" s="1"/>
  <c r="J156"/>
  <c r="M156" s="1"/>
  <c r="I156"/>
  <c r="K156" s="1"/>
  <c r="J155"/>
  <c r="M155" s="1"/>
  <c r="I155"/>
  <c r="K155" s="1"/>
  <c r="J154"/>
  <c r="M154" s="1"/>
  <c r="I154"/>
  <c r="K154" s="1"/>
  <c r="J153"/>
  <c r="M153" s="1"/>
  <c r="I153"/>
  <c r="K153" s="1"/>
  <c r="J152"/>
  <c r="M152" s="1"/>
  <c r="I152"/>
  <c r="K152" s="1"/>
  <c r="J151"/>
  <c r="M151" s="1"/>
  <c r="I151"/>
  <c r="K151" s="1"/>
  <c r="J150"/>
  <c r="M150" s="1"/>
  <c r="I150"/>
  <c r="K150" s="1"/>
  <c r="J149"/>
  <c r="M149" s="1"/>
  <c r="I149"/>
  <c r="K149" s="1"/>
  <c r="J148"/>
  <c r="M148" s="1"/>
  <c r="I148"/>
  <c r="K148" s="1"/>
  <c r="J147"/>
  <c r="M147" s="1"/>
  <c r="I147"/>
  <c r="K147" s="1"/>
  <c r="J146"/>
  <c r="M146" s="1"/>
  <c r="I146"/>
  <c r="K146" s="1"/>
  <c r="J145"/>
  <c r="M145" s="1"/>
  <c r="I145"/>
  <c r="K145" s="1"/>
  <c r="J144"/>
  <c r="M144" s="1"/>
  <c r="I144"/>
  <c r="K144" s="1"/>
  <c r="J143"/>
  <c r="M143" s="1"/>
  <c r="I143"/>
  <c r="K143" s="1"/>
  <c r="J142"/>
  <c r="M142" s="1"/>
  <c r="I142"/>
  <c r="K142" s="1"/>
  <c r="J141"/>
  <c r="M141" s="1"/>
  <c r="I141"/>
  <c r="K141" s="1"/>
  <c r="J139"/>
  <c r="M139" s="1"/>
  <c r="I139"/>
  <c r="K139" s="1"/>
  <c r="J138"/>
  <c r="M138" s="1"/>
  <c r="I138"/>
  <c r="K138" s="1"/>
  <c r="J137"/>
  <c r="M137" s="1"/>
  <c r="I137"/>
  <c r="K137" s="1"/>
  <c r="J136"/>
  <c r="M136" s="1"/>
  <c r="I136"/>
  <c r="K136" s="1"/>
  <c r="J135"/>
  <c r="M135" s="1"/>
  <c r="I135"/>
  <c r="K135" s="1"/>
  <c r="J134"/>
  <c r="M134" s="1"/>
  <c r="I134"/>
  <c r="K134" s="1"/>
  <c r="J133"/>
  <c r="M133" s="1"/>
  <c r="I133"/>
  <c r="K133" s="1"/>
  <c r="J132"/>
  <c r="M132" s="1"/>
  <c r="I132"/>
  <c r="K132" s="1"/>
  <c r="J131"/>
  <c r="M131" s="1"/>
  <c r="I131"/>
  <c r="K131" s="1"/>
  <c r="J130"/>
  <c r="M130" s="1"/>
  <c r="I130"/>
  <c r="K130" s="1"/>
  <c r="J128"/>
  <c r="M128" s="1"/>
  <c r="I128"/>
  <c r="K128" s="1"/>
  <c r="J127"/>
  <c r="M127" s="1"/>
  <c r="I127"/>
  <c r="K127" s="1"/>
  <c r="J126"/>
  <c r="M126" s="1"/>
  <c r="I126"/>
  <c r="K126" s="1"/>
  <c r="J125"/>
  <c r="M125" s="1"/>
  <c r="I125"/>
  <c r="K125" s="1"/>
  <c r="J124"/>
  <c r="M124" s="1"/>
  <c r="I124"/>
  <c r="K124" s="1"/>
  <c r="J123"/>
  <c r="M123" s="1"/>
  <c r="I123"/>
  <c r="K123" s="1"/>
  <c r="J122"/>
  <c r="M122" s="1"/>
  <c r="I122"/>
  <c r="K122" s="1"/>
  <c r="J121"/>
  <c r="M121" s="1"/>
  <c r="I121"/>
  <c r="K121" s="1"/>
  <c r="J120"/>
  <c r="M120" s="1"/>
  <c r="I120"/>
  <c r="K120" s="1"/>
  <c r="J118"/>
  <c r="M118" s="1"/>
  <c r="I118"/>
  <c r="K118" s="1"/>
  <c r="J116"/>
  <c r="M116" s="1"/>
  <c r="I116"/>
  <c r="K116" s="1"/>
  <c r="J115"/>
  <c r="M115" s="1"/>
  <c r="I115"/>
  <c r="K115" s="1"/>
  <c r="J114"/>
  <c r="M114" s="1"/>
  <c r="I114"/>
  <c r="K114" s="1"/>
  <c r="J113"/>
  <c r="M113" s="1"/>
  <c r="I113"/>
  <c r="K113" s="1"/>
  <c r="J112"/>
  <c r="M112" s="1"/>
  <c r="I112"/>
  <c r="K112" s="1"/>
  <c r="J111"/>
  <c r="M111" s="1"/>
  <c r="I111"/>
  <c r="K111" s="1"/>
  <c r="J110"/>
  <c r="M110" s="1"/>
  <c r="I110"/>
  <c r="K110" s="1"/>
  <c r="J109"/>
  <c r="M109" s="1"/>
  <c r="I109"/>
  <c r="K109" s="1"/>
  <c r="J108"/>
  <c r="M108" s="1"/>
  <c r="I108"/>
  <c r="K108" s="1"/>
  <c r="J107"/>
  <c r="M107" s="1"/>
  <c r="I107"/>
  <c r="K107" s="1"/>
  <c r="J106"/>
  <c r="M106" s="1"/>
  <c r="I106"/>
  <c r="K106" s="1"/>
  <c r="J104"/>
  <c r="M104" s="1"/>
  <c r="I104"/>
  <c r="K104" s="1"/>
  <c r="J103"/>
  <c r="M103" s="1"/>
  <c r="I103"/>
  <c r="K103" s="1"/>
  <c r="J102"/>
  <c r="M102" s="1"/>
  <c r="I102"/>
  <c r="K102" s="1"/>
  <c r="J101"/>
  <c r="M101" s="1"/>
  <c r="I101"/>
  <c r="K101" s="1"/>
  <c r="J100"/>
  <c r="M100" s="1"/>
  <c r="I100"/>
  <c r="K100" s="1"/>
  <c r="J99"/>
  <c r="M99" s="1"/>
  <c r="I99"/>
  <c r="K99" s="1"/>
  <c r="J98"/>
  <c r="M98" s="1"/>
  <c r="I98"/>
  <c r="K98" s="1"/>
  <c r="J96"/>
  <c r="M96" s="1"/>
  <c r="I96"/>
  <c r="K96" s="1"/>
  <c r="J95"/>
  <c r="M95" s="1"/>
  <c r="I95"/>
  <c r="K95" s="1"/>
  <c r="J94"/>
  <c r="M94" s="1"/>
  <c r="I94"/>
  <c r="K94" s="1"/>
  <c r="J92"/>
  <c r="M92" s="1"/>
  <c r="I92"/>
  <c r="K92" s="1"/>
  <c r="J91"/>
  <c r="M91" s="1"/>
  <c r="I91"/>
  <c r="K91" s="1"/>
  <c r="J90"/>
  <c r="M90" s="1"/>
  <c r="I90"/>
  <c r="K90" s="1"/>
  <c r="J89"/>
  <c r="M89" s="1"/>
  <c r="I89"/>
  <c r="K89" s="1"/>
  <c r="J88"/>
  <c r="M88" s="1"/>
  <c r="I88"/>
  <c r="K88" s="1"/>
  <c r="J87"/>
  <c r="M87" s="1"/>
  <c r="I87"/>
  <c r="K87" s="1"/>
  <c r="J86"/>
  <c r="M86" s="1"/>
  <c r="I86"/>
  <c r="K86" s="1"/>
  <c r="J85"/>
  <c r="M85" s="1"/>
  <c r="I85"/>
  <c r="K85" s="1"/>
  <c r="J84"/>
  <c r="M84" s="1"/>
  <c r="I84"/>
  <c r="K84" s="1"/>
  <c r="J83"/>
  <c r="M83" s="1"/>
  <c r="I83"/>
  <c r="K83" s="1"/>
  <c r="J82"/>
  <c r="M82" s="1"/>
  <c r="I82"/>
  <c r="K82" s="1"/>
  <c r="J81"/>
  <c r="M81" s="1"/>
  <c r="I81"/>
  <c r="K81" s="1"/>
  <c r="J80"/>
  <c r="M80" s="1"/>
  <c r="I80"/>
  <c r="K80" s="1"/>
  <c r="J77"/>
  <c r="M77" s="1"/>
  <c r="I77"/>
  <c r="K77" s="1"/>
  <c r="J76"/>
  <c r="M76" s="1"/>
  <c r="I76"/>
  <c r="K76" s="1"/>
  <c r="J75"/>
  <c r="M75" s="1"/>
  <c r="I75"/>
  <c r="K75" s="1"/>
  <c r="J74"/>
  <c r="M74" s="1"/>
  <c r="I74"/>
  <c r="K74" s="1"/>
  <c r="J73"/>
  <c r="M73" s="1"/>
  <c r="I73"/>
  <c r="K73" s="1"/>
  <c r="J72"/>
  <c r="M72" s="1"/>
  <c r="I72"/>
  <c r="K72" s="1"/>
  <c r="J71"/>
  <c r="M71" s="1"/>
  <c r="I71"/>
  <c r="K71" s="1"/>
  <c r="J70"/>
  <c r="M70" s="1"/>
  <c r="I70"/>
  <c r="K70" s="1"/>
  <c r="J69"/>
  <c r="M69" s="1"/>
  <c r="I69"/>
  <c r="K69" s="1"/>
  <c r="J68"/>
  <c r="M68" s="1"/>
  <c r="I68"/>
  <c r="K68" s="1"/>
  <c r="J67"/>
  <c r="M67" s="1"/>
  <c r="I67"/>
  <c r="K67" s="1"/>
  <c r="J66"/>
  <c r="M66" s="1"/>
  <c r="I66"/>
  <c r="K66" s="1"/>
  <c r="J65"/>
  <c r="M65" s="1"/>
  <c r="I65"/>
  <c r="K65" s="1"/>
  <c r="J64"/>
  <c r="M64" s="1"/>
  <c r="I64"/>
  <c r="K64" s="1"/>
  <c r="J63"/>
  <c r="M63" s="1"/>
  <c r="I63"/>
  <c r="K63" s="1"/>
  <c r="J62"/>
  <c r="M62" s="1"/>
  <c r="I62"/>
  <c r="K62" s="1"/>
  <c r="J61"/>
  <c r="M61" s="1"/>
  <c r="I61"/>
  <c r="K61" s="1"/>
  <c r="J60"/>
  <c r="M60" s="1"/>
  <c r="I60"/>
  <c r="K60" s="1"/>
  <c r="J59"/>
  <c r="M59" s="1"/>
  <c r="I59"/>
  <c r="K59" s="1"/>
  <c r="J58"/>
  <c r="M58" s="1"/>
  <c r="I58"/>
  <c r="K58" s="1"/>
  <c r="J57"/>
  <c r="M57" s="1"/>
  <c r="I57"/>
  <c r="K57" s="1"/>
  <c r="J56"/>
  <c r="M56" s="1"/>
  <c r="I56"/>
  <c r="K56" s="1"/>
  <c r="J55"/>
  <c r="M55" s="1"/>
  <c r="I55"/>
  <c r="K55" s="1"/>
  <c r="J54"/>
  <c r="M54" s="1"/>
  <c r="I54"/>
  <c r="K54" s="1"/>
  <c r="J53"/>
  <c r="M53" s="1"/>
  <c r="I53"/>
  <c r="K53" s="1"/>
  <c r="J52"/>
  <c r="M52" s="1"/>
  <c r="I52"/>
  <c r="K52" s="1"/>
  <c r="J51"/>
  <c r="M51" s="1"/>
  <c r="I51"/>
  <c r="K51" s="1"/>
  <c r="J50"/>
  <c r="M50" s="1"/>
  <c r="I50"/>
  <c r="K50" s="1"/>
  <c r="J49"/>
  <c r="M49" s="1"/>
  <c r="I49"/>
  <c r="K49" s="1"/>
  <c r="J48"/>
  <c r="M48" s="1"/>
  <c r="I48"/>
  <c r="K48" s="1"/>
  <c r="J47"/>
  <c r="M47" s="1"/>
  <c r="I47"/>
  <c r="K47" s="1"/>
  <c r="J46"/>
  <c r="M46" s="1"/>
  <c r="I46"/>
  <c r="K46" s="1"/>
  <c r="J45"/>
  <c r="M45" s="1"/>
  <c r="I45"/>
  <c r="K45" s="1"/>
  <c r="J44"/>
  <c r="M44" s="1"/>
  <c r="I44"/>
  <c r="K44" s="1"/>
  <c r="J43"/>
  <c r="M43" s="1"/>
  <c r="I43"/>
  <c r="K43" s="1"/>
  <c r="J42"/>
  <c r="M42" s="1"/>
  <c r="I42"/>
  <c r="K42" s="1"/>
  <c r="J41"/>
  <c r="M41" s="1"/>
  <c r="I41"/>
  <c r="K41" s="1"/>
  <c r="J40"/>
  <c r="M40" s="1"/>
  <c r="I40"/>
  <c r="K40" s="1"/>
  <c r="J39"/>
  <c r="M39" s="1"/>
  <c r="I39"/>
  <c r="K39" s="1"/>
  <c r="J38"/>
  <c r="M38" s="1"/>
  <c r="I38"/>
  <c r="K38" s="1"/>
  <c r="J37"/>
  <c r="M37" s="1"/>
  <c r="I37"/>
  <c r="K37" s="1"/>
  <c r="J36"/>
  <c r="M36" s="1"/>
  <c r="I36"/>
  <c r="K36" s="1"/>
  <c r="J35"/>
  <c r="M35" s="1"/>
  <c r="I35"/>
  <c r="K35" s="1"/>
  <c r="J33"/>
  <c r="M33" s="1"/>
  <c r="I33"/>
  <c r="K33" s="1"/>
  <c r="J31"/>
  <c r="M31" s="1"/>
  <c r="I31"/>
  <c r="K31" s="1"/>
  <c r="J30"/>
  <c r="I30"/>
  <c r="F40" i="7"/>
  <c r="J29" i="35"/>
  <c r="M29" s="1"/>
  <c r="I29"/>
  <c r="K29" s="1"/>
  <c r="J28"/>
  <c r="M28" s="1"/>
  <c r="I28"/>
  <c r="K28" s="1"/>
  <c r="J27"/>
  <c r="M27" s="1"/>
  <c r="I27"/>
  <c r="K27" s="1"/>
  <c r="J25"/>
  <c r="M25" s="1"/>
  <c r="I25"/>
  <c r="K25" s="1"/>
  <c r="J24"/>
  <c r="M24" s="1"/>
  <c r="I24"/>
  <c r="K24" s="1"/>
  <c r="J23"/>
  <c r="M23" s="1"/>
  <c r="I23"/>
  <c r="K23" s="1"/>
  <c r="J22"/>
  <c r="M22" s="1"/>
  <c r="I22"/>
  <c r="K22" s="1"/>
  <c r="J21"/>
  <c r="M21" s="1"/>
  <c r="I21"/>
  <c r="K21" s="1"/>
  <c r="J20"/>
  <c r="M20" s="1"/>
  <c r="I20"/>
  <c r="K20" s="1"/>
  <c r="J19"/>
  <c r="M19" s="1"/>
  <c r="I19"/>
  <c r="K19" s="1"/>
  <c r="J18"/>
  <c r="M18" s="1"/>
  <c r="I18"/>
  <c r="K18" s="1"/>
  <c r="J17"/>
  <c r="M17" s="1"/>
  <c r="I17"/>
  <c r="K17" s="1"/>
  <c r="J16"/>
  <c r="M16" s="1"/>
  <c r="I16"/>
  <c r="K16" s="1"/>
  <c r="J14"/>
  <c r="M14" s="1"/>
  <c r="I14"/>
  <c r="K14" s="1"/>
  <c r="J11"/>
  <c r="M11" s="1"/>
  <c r="I11"/>
  <c r="K11" s="1"/>
  <c r="J10"/>
  <c r="M10" s="1"/>
  <c r="I10"/>
  <c r="K10" s="1"/>
  <c r="E157" l="1"/>
  <c r="F183" i="7" s="1"/>
  <c r="C11" i="35"/>
  <c r="F15" i="7" s="1"/>
  <c r="C16" i="35"/>
  <c r="C18"/>
  <c r="C20"/>
  <c r="F29" i="7" s="1"/>
  <c r="C22" i="35"/>
  <c r="F31" i="7" s="1"/>
  <c r="C24" i="35"/>
  <c r="F33" i="7" s="1"/>
  <c r="C27" i="35"/>
  <c r="C29"/>
  <c r="F39" i="7" s="1"/>
  <c r="C259" i="35"/>
  <c r="F100" i="8" s="1"/>
  <c r="C262" i="35"/>
  <c r="F103" i="8" s="1"/>
  <c r="C265" i="35"/>
  <c r="C267"/>
  <c r="C270"/>
  <c r="C272"/>
  <c r="C274"/>
  <c r="C282"/>
  <c r="F126" i="8" s="1"/>
  <c r="C284" i="35"/>
  <c r="C286"/>
  <c r="C10"/>
  <c r="C14"/>
  <c r="F19" i="7" s="1"/>
  <c r="C17" i="35"/>
  <c r="F23" i="7" s="1"/>
  <c r="C19" i="35"/>
  <c r="F28" i="7" s="1"/>
  <c r="C21" i="35"/>
  <c r="C23"/>
  <c r="F32" i="7" s="1"/>
  <c r="C25" i="35"/>
  <c r="F34" i="7" s="1"/>
  <c r="C28" i="35"/>
  <c r="F38" i="7" s="1"/>
  <c r="C182" i="35"/>
  <c r="C258"/>
  <c r="F99" i="8" s="1"/>
  <c r="C260" i="35"/>
  <c r="F101" i="8" s="1"/>
  <c r="C263" i="35"/>
  <c r="F104" i="8" s="1"/>
  <c r="C266" i="35"/>
  <c r="C269"/>
  <c r="F111" i="8" s="1"/>
  <c r="C271" i="35"/>
  <c r="C273"/>
  <c r="C275"/>
  <c r="C283"/>
  <c r="F127" i="8" s="1"/>
  <c r="C285" i="35"/>
  <c r="F129" i="8" s="1"/>
  <c r="C288" i="35"/>
  <c r="E95"/>
  <c r="E107"/>
  <c r="E109"/>
  <c r="E111"/>
  <c r="E113"/>
  <c r="E115"/>
  <c r="E121"/>
  <c r="E123"/>
  <c r="E125"/>
  <c r="E127"/>
  <c r="E73"/>
  <c r="E75"/>
  <c r="E77"/>
  <c r="E81"/>
  <c r="E83"/>
  <c r="E85"/>
  <c r="E87"/>
  <c r="E89"/>
  <c r="E91"/>
  <c r="E99"/>
  <c r="E101"/>
  <c r="E103"/>
  <c r="E156"/>
  <c r="E159"/>
  <c r="F185" i="7" s="1"/>
  <c r="C31" i="35"/>
  <c r="C35"/>
  <c r="C37"/>
  <c r="F52" i="7" s="1"/>
  <c r="C39" i="35"/>
  <c r="F54" i="7" s="1"/>
  <c r="C41" i="35"/>
  <c r="C43"/>
  <c r="F59" i="7" s="1"/>
  <c r="C45" i="35"/>
  <c r="F61" i="7" s="1"/>
  <c r="C47" i="35"/>
  <c r="F63" i="7" s="1"/>
  <c r="C49" i="35"/>
  <c r="C51"/>
  <c r="F67" i="7" s="1"/>
  <c r="C53" i="35"/>
  <c r="F69" i="7" s="1"/>
  <c r="C55" i="35"/>
  <c r="F72" i="7" s="1"/>
  <c r="C57" i="35"/>
  <c r="C59"/>
  <c r="F78" i="7" s="1"/>
  <c r="C61" i="35"/>
  <c r="C63"/>
  <c r="F82" i="7" s="1"/>
  <c r="C65" i="35"/>
  <c r="C67"/>
  <c r="F91" i="7" s="1"/>
  <c r="C69" i="35"/>
  <c r="F93" i="7" s="1"/>
  <c r="C71" i="35"/>
  <c r="G160" i="31" s="1"/>
  <c r="C94" i="35"/>
  <c r="C96"/>
  <c r="C106"/>
  <c r="C108"/>
  <c r="C110"/>
  <c r="C112"/>
  <c r="C114"/>
  <c r="C116"/>
  <c r="C120"/>
  <c r="C122"/>
  <c r="C124"/>
  <c r="C126"/>
  <c r="C128"/>
  <c r="C131"/>
  <c r="F143" i="7" s="1"/>
  <c r="C133" i="35"/>
  <c r="F145" i="7" s="1"/>
  <c r="C135" i="35"/>
  <c r="F147" i="7" s="1"/>
  <c r="C137" i="35"/>
  <c r="C139"/>
  <c r="F153" i="7" s="1"/>
  <c r="C142" i="35"/>
  <c r="F159" i="7" s="1"/>
  <c r="C144" i="35"/>
  <c r="C146"/>
  <c r="C148"/>
  <c r="C150"/>
  <c r="F167" i="7" s="1"/>
  <c r="C152" i="35"/>
  <c r="F172" i="7" s="1"/>
  <c r="C154" i="35"/>
  <c r="E166"/>
  <c r="F193" i="7" s="1"/>
  <c r="E170" i="35"/>
  <c r="F199" i="7" s="1"/>
  <c r="E173" i="35"/>
  <c r="F205" i="7" s="1"/>
  <c r="E175" i="35"/>
  <c r="E177"/>
  <c r="F209" i="7" s="1"/>
  <c r="E181" i="35"/>
  <c r="G461" i="31" s="1"/>
  <c r="E183" i="35"/>
  <c r="E185"/>
  <c r="E187"/>
  <c r="F15" i="8" s="1"/>
  <c r="E189" i="35"/>
  <c r="F17" i="8" s="1"/>
  <c r="E191" i="35"/>
  <c r="F19" i="8" s="1"/>
  <c r="E193" i="35"/>
  <c r="E196"/>
  <c r="F26" i="8" s="1"/>
  <c r="E198" i="35"/>
  <c r="F28" i="8" s="1"/>
  <c r="E201" i="35"/>
  <c r="F35" i="8" s="1"/>
  <c r="E203" i="35"/>
  <c r="E205"/>
  <c r="F40" i="8" s="1"/>
  <c r="E207" i="35"/>
  <c r="F44" i="8" s="1"/>
  <c r="E209" i="35"/>
  <c r="F46" i="8" s="1"/>
  <c r="E211" i="35"/>
  <c r="E213"/>
  <c r="F50" i="8" s="1"/>
  <c r="E215" i="35"/>
  <c r="F52" i="8" s="1"/>
  <c r="E217" i="35"/>
  <c r="E219"/>
  <c r="E221"/>
  <c r="F58" i="8" s="1"/>
  <c r="E223" i="35"/>
  <c r="F62" i="8" s="1"/>
  <c r="E225" i="35"/>
  <c r="F64" i="8" s="1"/>
  <c r="E227" i="35"/>
  <c r="E229"/>
  <c r="F68" i="8" s="1"/>
  <c r="E231" i="35"/>
  <c r="F70" i="8" s="1"/>
  <c r="E233" i="35"/>
  <c r="E235"/>
  <c r="E237"/>
  <c r="F78" i="8" s="1"/>
  <c r="E239" i="35"/>
  <c r="F291" i="8" s="1"/>
  <c r="E241" i="35"/>
  <c r="F81" i="8" s="1"/>
  <c r="E243" i="35"/>
  <c r="E246"/>
  <c r="F85" i="8" s="1"/>
  <c r="E248" i="35"/>
  <c r="F87" i="8" s="1"/>
  <c r="E250" i="35"/>
  <c r="F89" i="8" s="1"/>
  <c r="E253" i="35"/>
  <c r="E255"/>
  <c r="F305" i="8" s="1"/>
  <c r="C290" i="35"/>
  <c r="F138" i="8" s="1"/>
  <c r="C292" i="35"/>
  <c r="F141" i="8" s="1"/>
  <c r="C294" i="35"/>
  <c r="C296"/>
  <c r="C299"/>
  <c r="C302"/>
  <c r="C305"/>
  <c r="C307"/>
  <c r="C309"/>
  <c r="F160" i="8" s="1"/>
  <c r="C311" i="35"/>
  <c r="F162" i="8" s="1"/>
  <c r="C313" i="35"/>
  <c r="C315"/>
  <c r="C317"/>
  <c r="F168" i="8" s="1"/>
  <c r="C319" i="35"/>
  <c r="F170" i="8" s="1"/>
  <c r="C321" i="35"/>
  <c r="C323"/>
  <c r="F175" i="8" s="1"/>
  <c r="C325" i="35"/>
  <c r="F177" i="8" s="1"/>
  <c r="C327" i="35"/>
  <c r="F179" i="8" s="1"/>
  <c r="C330" i="35"/>
  <c r="C332"/>
  <c r="C334"/>
  <c r="F189" i="8" s="1"/>
  <c r="C336" i="35"/>
  <c r="F192" i="8" s="1"/>
  <c r="C338" i="35"/>
  <c r="C340"/>
  <c r="F197" i="8" s="1"/>
  <c r="C342" i="35"/>
  <c r="F200" i="8" s="1"/>
  <c r="C344" i="35"/>
  <c r="F202" i="8" s="1"/>
  <c r="C346" i="35"/>
  <c r="C348"/>
  <c r="F206" i="8" s="1"/>
  <c r="C350" i="35"/>
  <c r="C352"/>
  <c r="F210" i="8" s="1"/>
  <c r="C354" i="35"/>
  <c r="C356"/>
  <c r="F216" i="8" s="1"/>
  <c r="C358" i="35"/>
  <c r="F219" i="8" s="1"/>
  <c r="C360" i="35"/>
  <c r="F221" i="8" s="1"/>
  <c r="C362" i="35"/>
  <c r="F223" i="8" s="1"/>
  <c r="C364" i="35"/>
  <c r="F225" i="8" s="1"/>
  <c r="C366" i="35"/>
  <c r="F228" i="8" s="1"/>
  <c r="C368" i="35"/>
  <c r="C370"/>
  <c r="C372"/>
  <c r="C374"/>
  <c r="F231" i="8" s="1"/>
  <c r="C376" i="35"/>
  <c r="C378"/>
  <c r="C380"/>
  <c r="F241" i="8" s="1"/>
  <c r="C382" i="35"/>
  <c r="F244" i="8" s="1"/>
  <c r="C385" i="35"/>
  <c r="F247" i="8" s="1"/>
  <c r="C387" i="35"/>
  <c r="C389"/>
  <c r="F252" i="8" s="1"/>
  <c r="C393" i="35"/>
  <c r="F257" i="8" s="1"/>
  <c r="C395" i="35"/>
  <c r="F260" i="8" s="1"/>
  <c r="C398" i="35"/>
  <c r="C400"/>
  <c r="F265" i="8" s="1"/>
  <c r="C404" i="35"/>
  <c r="F269" i="8" s="1"/>
  <c r="C406" i="35"/>
  <c r="F272" i="8" s="1"/>
  <c r="C409" i="35"/>
  <c r="C412"/>
  <c r="F278" i="8" s="1"/>
  <c r="C414" i="35"/>
  <c r="C33"/>
  <c r="F45" i="7" s="1"/>
  <c r="C36" i="35"/>
  <c r="C38"/>
  <c r="F53" i="7" s="1"/>
  <c r="C40" i="35"/>
  <c r="C42"/>
  <c r="F58" i="7" s="1"/>
  <c r="C44" i="35"/>
  <c r="F60" i="7" s="1"/>
  <c r="C46" i="35"/>
  <c r="F62" i="7" s="1"/>
  <c r="C48" i="35"/>
  <c r="F64" i="7" s="1"/>
  <c r="C50" i="35"/>
  <c r="C52"/>
  <c r="F68" i="7" s="1"/>
  <c r="C54" i="35"/>
  <c r="F71" i="7" s="1"/>
  <c r="C56" i="35"/>
  <c r="F73" i="7" s="1"/>
  <c r="C58" i="35"/>
  <c r="F77" i="7" s="1"/>
  <c r="C60" i="35"/>
  <c r="C62"/>
  <c r="F81" i="7" s="1"/>
  <c r="C64" i="35"/>
  <c r="F85" i="7" s="1"/>
  <c r="C66" i="35"/>
  <c r="F90" i="7" s="1"/>
  <c r="C68" i="35"/>
  <c r="C70"/>
  <c r="F94" i="7" s="1"/>
  <c r="C72" i="35"/>
  <c r="G161" i="31" s="1"/>
  <c r="C74" i="35"/>
  <c r="C76"/>
  <c r="C80"/>
  <c r="C82"/>
  <c r="C84"/>
  <c r="C86"/>
  <c r="C88"/>
  <c r="C90"/>
  <c r="C92"/>
  <c r="C98"/>
  <c r="C100"/>
  <c r="C102"/>
  <c r="C104"/>
  <c r="C118"/>
  <c r="C130"/>
  <c r="F142" i="7" s="1"/>
  <c r="C132" i="35"/>
  <c r="F144" i="7" s="1"/>
  <c r="C134" i="35"/>
  <c r="F146" i="7" s="1"/>
  <c r="C136" i="35"/>
  <c r="F148" i="7" s="1"/>
  <c r="C138" i="35"/>
  <c r="F152" i="7" s="1"/>
  <c r="C141" i="35"/>
  <c r="F158" i="7" s="1"/>
  <c r="C143" i="35"/>
  <c r="F160" i="7" s="1"/>
  <c r="C145" i="35"/>
  <c r="F162" i="7" s="1"/>
  <c r="C147" i="35"/>
  <c r="F164" i="7" s="1"/>
  <c r="C149" i="35"/>
  <c r="F166" i="7" s="1"/>
  <c r="C151" i="35"/>
  <c r="F171" i="7" s="1"/>
  <c r="C153" i="35"/>
  <c r="F173" i="7" s="1"/>
  <c r="C155" i="35"/>
  <c r="E165"/>
  <c r="F192" i="7" s="1"/>
  <c r="E169" i="35"/>
  <c r="F198" i="7" s="1"/>
  <c r="E172" i="35"/>
  <c r="F204" i="7" s="1"/>
  <c r="E174" i="35"/>
  <c r="F206" i="7" s="1"/>
  <c r="E176" i="35"/>
  <c r="F208" i="7" s="1"/>
  <c r="E178" i="35"/>
  <c r="F213" i="7" s="1"/>
  <c r="E184" i="35"/>
  <c r="E186"/>
  <c r="F14" i="8" s="1"/>
  <c r="E188" i="35"/>
  <c r="F16" i="8" s="1"/>
  <c r="E190" i="35"/>
  <c r="F18" i="8" s="1"/>
  <c r="E192" i="35"/>
  <c r="F20" i="8" s="1"/>
  <c r="E194" i="35"/>
  <c r="F23" i="8" s="1"/>
  <c r="E197" i="35"/>
  <c r="F27" i="8" s="1"/>
  <c r="E200" i="35"/>
  <c r="F34" i="8" s="1"/>
  <c r="E202" i="35"/>
  <c r="F36" i="8" s="1"/>
  <c r="E204" i="35"/>
  <c r="F39" i="8" s="1"/>
  <c r="E206" i="35"/>
  <c r="F41" i="8" s="1"/>
  <c r="E208" i="35"/>
  <c r="F45" i="8" s="1"/>
  <c r="E210" i="35"/>
  <c r="F47" i="8" s="1"/>
  <c r="E212" i="35"/>
  <c r="F49" i="8" s="1"/>
  <c r="E214" i="35"/>
  <c r="F51" i="8" s="1"/>
  <c r="E216" i="35"/>
  <c r="F53" i="8" s="1"/>
  <c r="E218" i="35"/>
  <c r="F55" i="8" s="1"/>
  <c r="E220" i="35"/>
  <c r="F57" i="8" s="1"/>
  <c r="E222" i="35"/>
  <c r="F61" i="8" s="1"/>
  <c r="E224" i="35"/>
  <c r="F63" i="8" s="1"/>
  <c r="E226" i="35"/>
  <c r="F65" i="8" s="1"/>
  <c r="E228" i="35"/>
  <c r="F67" i="8" s="1"/>
  <c r="E230" i="35"/>
  <c r="F69" i="8" s="1"/>
  <c r="E232" i="35"/>
  <c r="F71" i="8" s="1"/>
  <c r="E234" i="35"/>
  <c r="F73" i="8" s="1"/>
  <c r="E236" i="35"/>
  <c r="F77" i="8" s="1"/>
  <c r="E238" i="35"/>
  <c r="F290" i="8" s="1"/>
  <c r="E240" i="35"/>
  <c r="F292" i="8" s="1"/>
  <c r="E242" i="35"/>
  <c r="E245"/>
  <c r="F32" i="8" s="1"/>
  <c r="E247" i="35"/>
  <c r="F86" i="8" s="1"/>
  <c r="E249" i="35"/>
  <c r="F88" i="8" s="1"/>
  <c r="E251" i="35"/>
  <c r="E254"/>
  <c r="F304" i="8" s="1"/>
  <c r="C291" i="35"/>
  <c r="C293"/>
  <c r="F142" i="8" s="1"/>
  <c r="C295" i="35"/>
  <c r="C298"/>
  <c r="F147" i="8" s="1"/>
  <c r="C300" i="35"/>
  <c r="F149" i="8" s="1"/>
  <c r="C304" i="35"/>
  <c r="F154" i="8" s="1"/>
  <c r="C306" i="35"/>
  <c r="C308"/>
  <c r="F159" i="8" s="1"/>
  <c r="C310" i="35"/>
  <c r="F161" i="8" s="1"/>
  <c r="C312" i="35"/>
  <c r="F163" i="8" s="1"/>
  <c r="C314" i="35"/>
  <c r="C316"/>
  <c r="F167" i="8" s="1"/>
  <c r="C318" i="35"/>
  <c r="F169" i="8" s="1"/>
  <c r="C320" i="35"/>
  <c r="F171" i="8" s="1"/>
  <c r="C322" i="35"/>
  <c r="F174" i="8" s="1"/>
  <c r="C324" i="35"/>
  <c r="F176" i="8" s="1"/>
  <c r="C326" i="35"/>
  <c r="F178" i="8" s="1"/>
  <c r="C329" i="35"/>
  <c r="F183" i="8" s="1"/>
  <c r="C331" i="35"/>
  <c r="F186" i="8" s="1"/>
  <c r="C333" i="35"/>
  <c r="F188" i="8" s="1"/>
  <c r="C335" i="35"/>
  <c r="C337"/>
  <c r="F193" i="8" s="1"/>
  <c r="C339" i="35"/>
  <c r="F196" i="8" s="1"/>
  <c r="C341" i="35"/>
  <c r="F198" i="8" s="1"/>
  <c r="C343" i="35"/>
  <c r="F201" i="8" s="1"/>
  <c r="C345" i="35"/>
  <c r="C347"/>
  <c r="F205" i="8" s="1"/>
  <c r="C349" i="35"/>
  <c r="F207" i="8" s="1"/>
  <c r="C351" i="35"/>
  <c r="F209" i="8" s="1"/>
  <c r="C353" i="35"/>
  <c r="C355"/>
  <c r="F214" i="8" s="1"/>
  <c r="C357" i="35"/>
  <c r="F218" i="8" s="1"/>
  <c r="C359" i="35"/>
  <c r="F220" i="8" s="1"/>
  <c r="C361" i="35"/>
  <c r="F222" i="8" s="1"/>
  <c r="C363" i="35"/>
  <c r="F224" i="8" s="1"/>
  <c r="C365" i="35"/>
  <c r="F227" i="8" s="1"/>
  <c r="C367" i="35"/>
  <c r="C369"/>
  <c r="F296" i="8" s="1"/>
  <c r="C371" i="35"/>
  <c r="F298" i="8" s="1"/>
  <c r="C373" i="35"/>
  <c r="F230" i="8" s="1"/>
  <c r="C375" i="35"/>
  <c r="F232" i="8" s="1"/>
  <c r="C377" i="35"/>
  <c r="C379"/>
  <c r="C381"/>
  <c r="F242" i="8" s="1"/>
  <c r="C384" i="35"/>
  <c r="F246" i="8" s="1"/>
  <c r="C386" i="35"/>
  <c r="F248" i="8" s="1"/>
  <c r="C388" i="35"/>
  <c r="C391"/>
  <c r="F255" i="8" s="1"/>
  <c r="C394" i="35"/>
  <c r="F259" i="8" s="1"/>
  <c r="C397" i="35"/>
  <c r="F262" i="8" s="1"/>
  <c r="C399" i="35"/>
  <c r="C401"/>
  <c r="F266" i="8" s="1"/>
  <c r="C405" i="35"/>
  <c r="F271" i="8" s="1"/>
  <c r="C407" i="35"/>
  <c r="F273" i="8" s="1"/>
  <c r="C410" i="35"/>
  <c r="F21" i="8" s="1"/>
  <c r="C413" i="35"/>
  <c r="F279" i="8" s="1"/>
  <c r="F14" i="7"/>
  <c r="S422" i="35"/>
  <c r="W421"/>
  <c r="F165" i="7"/>
  <c r="F161"/>
  <c r="F41"/>
  <c r="F149"/>
  <c r="S421" i="35"/>
  <c r="Y421"/>
  <c r="F74" i="8"/>
  <c r="F108"/>
  <c r="F116"/>
  <c r="F184"/>
  <c r="F194"/>
  <c r="F204"/>
  <c r="F213"/>
  <c r="F236"/>
  <c r="F263"/>
  <c r="F92"/>
  <c r="F156"/>
  <c r="F173"/>
  <c r="F276"/>
  <c r="C415" i="35"/>
  <c r="C416"/>
  <c r="F286" i="8" s="1"/>
  <c r="F24" i="7"/>
  <c r="F92"/>
  <c r="C417" i="35"/>
  <c r="F287" i="8" s="1"/>
  <c r="W422" i="35"/>
  <c r="F57" i="7"/>
  <c r="F65"/>
  <c r="F76"/>
  <c r="F86"/>
  <c r="F163"/>
  <c r="F174"/>
  <c r="F207"/>
  <c r="F13" i="8"/>
  <c r="F22"/>
  <c r="F38"/>
  <c r="F48"/>
  <c r="F54"/>
  <c r="F56"/>
  <c r="F66"/>
  <c r="F72"/>
  <c r="F76"/>
  <c r="F83"/>
  <c r="F90"/>
  <c r="F22" i="7"/>
  <c r="F51"/>
  <c r="F79"/>
  <c r="F36"/>
  <c r="F233" i="8"/>
  <c r="F251"/>
  <c r="C418" i="35"/>
  <c r="F288" i="8" s="1"/>
  <c r="F250"/>
  <c r="F264"/>
  <c r="H293" i="31"/>
  <c r="H302"/>
  <c r="H301"/>
  <c r="H300"/>
  <c r="H299"/>
  <c r="H294"/>
  <c r="H298"/>
  <c r="H297"/>
  <c r="H296"/>
  <c r="H295"/>
  <c r="H292"/>
  <c r="H291"/>
  <c r="H290"/>
  <c r="H289"/>
  <c r="F212" i="8" l="1"/>
  <c r="G514" i="31"/>
  <c r="I514" s="1"/>
  <c r="F56" i="7"/>
  <c r="G141" i="31"/>
  <c r="I141" s="1"/>
  <c r="F128" i="7"/>
  <c r="F112"/>
  <c r="F106"/>
  <c r="F136"/>
  <c r="F126"/>
  <c r="F100"/>
  <c r="G483" i="31"/>
  <c r="F117" i="8"/>
  <c r="G498" i="31"/>
  <c r="F145" i="8"/>
  <c r="G495" i="31"/>
  <c r="F140" i="8"/>
  <c r="G477" i="31"/>
  <c r="F109" i="8"/>
  <c r="G590" i="31"/>
  <c r="F284" i="8"/>
  <c r="G482" i="31"/>
  <c r="F115" i="8"/>
  <c r="G517" i="31"/>
  <c r="F297" i="8"/>
  <c r="G504" i="31"/>
  <c r="F157" i="8"/>
  <c r="G466" i="31"/>
  <c r="F82" i="8"/>
  <c r="G520" i="31"/>
  <c r="F237" i="8"/>
  <c r="G505" i="31"/>
  <c r="F158" i="8"/>
  <c r="G510" i="31"/>
  <c r="F187" i="8"/>
  <c r="G515" i="31"/>
  <c r="F294" i="8"/>
  <c r="G511" i="31"/>
  <c r="F190" i="8"/>
  <c r="G497" i="31"/>
  <c r="F144" i="8"/>
  <c r="G480" i="31"/>
  <c r="F113" i="8"/>
  <c r="G496" i="31"/>
  <c r="F143" i="8"/>
  <c r="G518" i="31"/>
  <c r="F299" i="8"/>
  <c r="G516" i="31"/>
  <c r="F295" i="8"/>
  <c r="G490" i="31"/>
  <c r="F128" i="8"/>
  <c r="G500" i="31"/>
  <c r="F148" i="8"/>
  <c r="G519" i="31"/>
  <c r="F235" i="8"/>
  <c r="G512" i="31"/>
  <c r="F203" i="8"/>
  <c r="G506" i="31"/>
  <c r="F164" i="8"/>
  <c r="G476" i="31"/>
  <c r="F107" i="8"/>
  <c r="G507" i="31"/>
  <c r="F165" i="8"/>
  <c r="G508" i="31"/>
  <c r="F166" i="8"/>
  <c r="G493" i="31"/>
  <c r="F135" i="8"/>
  <c r="G481" i="31"/>
  <c r="F114" i="8"/>
  <c r="G589" i="31"/>
  <c r="F280" i="8"/>
  <c r="G513" i="31"/>
  <c r="F208" i="8"/>
  <c r="G502" i="31"/>
  <c r="F152" i="8"/>
  <c r="G491" i="31"/>
  <c r="F130" i="8"/>
  <c r="G479" i="31"/>
  <c r="F112" i="8"/>
  <c r="F99" i="7"/>
  <c r="F103"/>
  <c r="F135"/>
  <c r="G269" i="31"/>
  <c r="F134" i="7"/>
  <c r="G256" i="31"/>
  <c r="F110" i="7"/>
  <c r="F131"/>
  <c r="G287" i="31"/>
  <c r="F175" i="7"/>
  <c r="F98"/>
  <c r="G270" i="31"/>
  <c r="G304"/>
  <c r="F182" i="7"/>
  <c r="G35" i="31"/>
  <c r="F30" i="7"/>
  <c r="G267" i="31"/>
  <c r="G145"/>
  <c r="F80" i="7"/>
  <c r="F83" s="1"/>
  <c r="G142" i="31"/>
  <c r="F66" i="7"/>
  <c r="F74" s="1"/>
  <c r="G138" i="31"/>
  <c r="F47" i="7"/>
  <c r="F127"/>
  <c r="F125"/>
  <c r="G237" i="31"/>
  <c r="F107" i="7"/>
  <c r="G162" i="31"/>
  <c r="G251"/>
  <c r="F122" i="7"/>
  <c r="G238" i="31"/>
  <c r="G243"/>
  <c r="G163"/>
  <c r="G250"/>
  <c r="F118" i="7"/>
  <c r="G242" i="31"/>
  <c r="F116" i="7"/>
  <c r="F105"/>
  <c r="F111"/>
  <c r="F121"/>
  <c r="G252" i="31"/>
  <c r="G254"/>
  <c r="F124" i="7"/>
  <c r="G255" i="31"/>
  <c r="G86"/>
  <c r="K15" i="23"/>
  <c r="G90" i="31"/>
  <c r="J34" i="27"/>
  <c r="G98" i="31"/>
  <c r="H303"/>
  <c r="F137" i="7" l="1"/>
  <c r="F101"/>
  <c r="H274" i="31"/>
  <c r="H273"/>
  <c r="H143"/>
  <c r="H392"/>
  <c r="H389"/>
  <c r="H323"/>
  <c r="H310"/>
  <c r="H305"/>
  <c r="H314"/>
  <c r="H309"/>
  <c r="H308"/>
  <c r="H313"/>
  <c r="H151"/>
  <c r="H280" l="1"/>
  <c r="H150"/>
  <c r="H149"/>
  <c r="H148"/>
  <c r="H147"/>
  <c r="H285" l="1"/>
  <c r="H586"/>
  <c r="H394" l="1"/>
  <c r="F13" i="2" l="1"/>
  <c r="E13" l="1"/>
  <c r="H358" i="31" l="1"/>
  <c r="AK18" i="28" l="1"/>
  <c r="K18"/>
  <c r="E17" i="2" l="1"/>
  <c r="AJ18" i="28"/>
  <c r="W25"/>
  <c r="H11" i="31" l="1"/>
  <c r="H424" l="1"/>
  <c r="H433"/>
  <c r="H439"/>
  <c r="H438"/>
  <c r="H437"/>
  <c r="H436"/>
  <c r="H435"/>
  <c r="H434"/>
  <c r="H432"/>
  <c r="H431"/>
  <c r="H430"/>
  <c r="H429"/>
  <c r="H428"/>
  <c r="H427"/>
  <c r="H426"/>
  <c r="H425"/>
  <c r="H423"/>
  <c r="H422"/>
  <c r="H421"/>
  <c r="H420"/>
  <c r="H419"/>
  <c r="H418"/>
  <c r="H417"/>
  <c r="H416"/>
  <c r="H415"/>
  <c r="H414"/>
  <c r="H57"/>
  <c r="H56"/>
  <c r="H55"/>
  <c r="H85" s="1"/>
  <c r="H54"/>
  <c r="H53"/>
  <c r="H52"/>
  <c r="H51"/>
  <c r="H50"/>
  <c r="H49"/>
  <c r="H48"/>
  <c r="H47"/>
  <c r="H46"/>
  <c r="H45"/>
  <c r="H347" l="1"/>
  <c r="H440"/>
  <c r="H129" l="1"/>
  <c r="H15"/>
  <c r="H128" l="1"/>
  <c r="H14"/>
  <c r="H17" s="1"/>
  <c r="F25" i="2" l="1"/>
  <c r="H126" i="31" l="1"/>
  <c r="H590"/>
  <c r="H589"/>
  <c r="H588"/>
  <c r="H585"/>
  <c r="H584"/>
  <c r="H583"/>
  <c r="H582"/>
  <c r="H581"/>
  <c r="H578"/>
  <c r="H576"/>
  <c r="H575"/>
  <c r="H574"/>
  <c r="H573"/>
  <c r="H572"/>
  <c r="H571"/>
  <c r="H570"/>
  <c r="H569"/>
  <c r="H567"/>
  <c r="H564"/>
  <c r="H563"/>
  <c r="H562"/>
  <c r="H561"/>
  <c r="H560"/>
  <c r="H557"/>
  <c r="H549"/>
  <c r="H548"/>
  <c r="H547"/>
  <c r="H546"/>
  <c r="H545"/>
  <c r="H544"/>
  <c r="H543"/>
  <c r="H542"/>
  <c r="H541"/>
  <c r="H540"/>
  <c r="H539"/>
  <c r="H538"/>
  <c r="H537"/>
  <c r="H536"/>
  <c r="H535"/>
  <c r="H534"/>
  <c r="H532"/>
  <c r="H531"/>
  <c r="H530"/>
  <c r="H529"/>
  <c r="H528"/>
  <c r="H527"/>
  <c r="H526"/>
  <c r="H525"/>
  <c r="H524"/>
  <c r="H523"/>
  <c r="H520"/>
  <c r="H519"/>
  <c r="H518"/>
  <c r="H517"/>
  <c r="H516"/>
  <c r="H515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6"/>
  <c r="H475"/>
  <c r="H474"/>
  <c r="H473"/>
  <c r="H472"/>
  <c r="H469"/>
  <c r="H470" s="1"/>
  <c r="H467"/>
  <c r="H466"/>
  <c r="H465"/>
  <c r="H464"/>
  <c r="F37" i="28"/>
  <c r="F38" s="1"/>
  <c r="F25"/>
  <c r="F18"/>
  <c r="C25" i="33"/>
  <c r="E25" s="1"/>
  <c r="H587" i="31" l="1"/>
  <c r="F50" i="28"/>
  <c r="F52" s="1"/>
  <c r="H555" i="31"/>
  <c r="F26" i="28"/>
  <c r="H577" i="31"/>
  <c r="H558"/>
  <c r="H565"/>
  <c r="E46" i="32" l="1"/>
  <c r="E45"/>
  <c r="E42"/>
  <c r="E41"/>
  <c r="E36"/>
  <c r="E35"/>
  <c r="E34"/>
  <c r="E31"/>
  <c r="E30"/>
  <c r="E29"/>
  <c r="E24"/>
  <c r="E23"/>
  <c r="E16"/>
  <c r="E14"/>
  <c r="E12"/>
  <c r="D4"/>
  <c r="E13" l="1"/>
  <c r="E21"/>
  <c r="E15"/>
  <c r="E22"/>
  <c r="E17"/>
  <c r="E43"/>
  <c r="E32"/>
  <c r="E47"/>
  <c r="E37"/>
  <c r="E38" l="1"/>
  <c r="E18"/>
  <c r="E48"/>
  <c r="E25"/>
  <c r="E26" l="1"/>
  <c r="E50" s="1"/>
  <c r="E52" s="1"/>
  <c r="H311" i="31"/>
  <c r="H461" l="1"/>
  <c r="H458"/>
  <c r="H457"/>
  <c r="H455"/>
  <c r="H454"/>
  <c r="H453"/>
  <c r="H452"/>
  <c r="H451"/>
  <c r="H450"/>
  <c r="H449"/>
  <c r="H448"/>
  <c r="H447"/>
  <c r="H446"/>
  <c r="H445"/>
  <c r="H444"/>
  <c r="H409"/>
  <c r="H408"/>
  <c r="H407"/>
  <c r="H393"/>
  <c r="H390"/>
  <c r="H396"/>
  <c r="H395"/>
  <c r="H391"/>
  <c r="H388"/>
  <c r="H387"/>
  <c r="H386"/>
  <c r="H404" s="1"/>
  <c r="H381"/>
  <c r="H380"/>
  <c r="H376"/>
  <c r="H372"/>
  <c r="H371"/>
  <c r="H366"/>
  <c r="H367"/>
  <c r="H365"/>
  <c r="H364"/>
  <c r="H363"/>
  <c r="H362"/>
  <c r="H356"/>
  <c r="H355"/>
  <c r="H354"/>
  <c r="H357"/>
  <c r="H353"/>
  <c r="H328"/>
  <c r="H325"/>
  <c r="H330"/>
  <c r="H348"/>
  <c r="H342"/>
  <c r="H341"/>
  <c r="H340"/>
  <c r="H339"/>
  <c r="H338"/>
  <c r="H337"/>
  <c r="H336"/>
  <c r="H334"/>
  <c r="H333"/>
  <c r="H332"/>
  <c r="H331"/>
  <c r="H335"/>
  <c r="H329"/>
  <c r="H327"/>
  <c r="H326"/>
  <c r="H324"/>
  <c r="H315"/>
  <c r="H317"/>
  <c r="H306"/>
  <c r="H312"/>
  <c r="H318"/>
  <c r="H319"/>
  <c r="H316"/>
  <c r="H307"/>
  <c r="H284"/>
  <c r="H270"/>
  <c r="H269"/>
  <c r="H268"/>
  <c r="H267"/>
  <c r="H265"/>
  <c r="H264"/>
  <c r="H263"/>
  <c r="H262"/>
  <c r="H261"/>
  <c r="H260"/>
  <c r="H259"/>
  <c r="H258"/>
  <c r="H256"/>
  <c r="H255"/>
  <c r="H254"/>
  <c r="H253"/>
  <c r="H252"/>
  <c r="H251"/>
  <c r="H250"/>
  <c r="H248"/>
  <c r="H247"/>
  <c r="H246"/>
  <c r="H245"/>
  <c r="H243"/>
  <c r="H242"/>
  <c r="H240"/>
  <c r="H238"/>
  <c r="H237"/>
  <c r="H229"/>
  <c r="H228"/>
  <c r="H227"/>
  <c r="H226"/>
  <c r="H225"/>
  <c r="H224"/>
  <c r="H223"/>
  <c r="H222"/>
  <c r="H221"/>
  <c r="H220"/>
  <c r="H219"/>
  <c r="H218"/>
  <c r="H217"/>
  <c r="H216"/>
  <c r="H215"/>
  <c r="H214"/>
  <c r="H212"/>
  <c r="H211"/>
  <c r="H210"/>
  <c r="H209"/>
  <c r="H208"/>
  <c r="H207"/>
  <c r="H206"/>
  <c r="H205"/>
  <c r="H204"/>
  <c r="H203"/>
  <c r="H194"/>
  <c r="H193"/>
  <c r="H192"/>
  <c r="H191"/>
  <c r="H190"/>
  <c r="H189"/>
  <c r="H188"/>
  <c r="H187"/>
  <c r="H186"/>
  <c r="H185"/>
  <c r="H184"/>
  <c r="H183"/>
  <c r="H182"/>
  <c r="H181"/>
  <c r="H180"/>
  <c r="H179"/>
  <c r="H176"/>
  <c r="H175"/>
  <c r="H174"/>
  <c r="H173"/>
  <c r="H172"/>
  <c r="H171"/>
  <c r="H170"/>
  <c r="H169"/>
  <c r="H168"/>
  <c r="H167"/>
  <c r="H165"/>
  <c r="H163"/>
  <c r="H162"/>
  <c r="H161"/>
  <c r="H160"/>
  <c r="H146"/>
  <c r="H158" s="1"/>
  <c r="H139"/>
  <c r="I139" s="1"/>
  <c r="H133"/>
  <c r="H132"/>
  <c r="H131"/>
  <c r="H127"/>
  <c r="H124"/>
  <c r="H125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5"/>
  <c r="H94"/>
  <c r="H91"/>
  <c r="H87"/>
  <c r="H40"/>
  <c r="H39"/>
  <c r="H38"/>
  <c r="H37"/>
  <c r="H31"/>
  <c r="H30"/>
  <c r="H29"/>
  <c r="H28"/>
  <c r="H27"/>
  <c r="H24"/>
  <c r="H23"/>
  <c r="H19"/>
  <c r="H10"/>
  <c r="H12" s="1"/>
  <c r="H411" l="1"/>
  <c r="H235"/>
  <c r="H200"/>
  <c r="H33"/>
  <c r="H136"/>
  <c r="H346"/>
  <c r="H345"/>
  <c r="H344"/>
  <c r="H249"/>
  <c r="H320"/>
  <c r="H286"/>
  <c r="H359"/>
  <c r="H88"/>
  <c r="H41"/>
  <c r="H96"/>
  <c r="H121"/>
  <c r="H241"/>
  <c r="H266"/>
  <c r="H368"/>
  <c r="H459"/>
  <c r="H373"/>
  <c r="H382"/>
  <c r="J67" i="2"/>
  <c r="I67"/>
  <c r="H67"/>
  <c r="G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F43"/>
  <c r="F67" s="1"/>
  <c r="J40"/>
  <c r="I40"/>
  <c r="H40"/>
  <c r="G40"/>
  <c r="F40"/>
  <c r="E39"/>
  <c r="E38"/>
  <c r="E37"/>
  <c r="E36"/>
  <c r="E35"/>
  <c r="H31"/>
  <c r="H33" s="1"/>
  <c r="G31"/>
  <c r="G33" s="1"/>
  <c r="F31"/>
  <c r="F33" s="1"/>
  <c r="I30"/>
  <c r="I31" s="1"/>
  <c r="I33" s="1"/>
  <c r="J29"/>
  <c r="E29" s="1"/>
  <c r="J28"/>
  <c r="J25"/>
  <c r="I25"/>
  <c r="H25"/>
  <c r="H68" s="1"/>
  <c r="E16"/>
  <c r="E22"/>
  <c r="E23"/>
  <c r="H350" i="31" l="1"/>
  <c r="J31" i="2"/>
  <c r="J33" s="1"/>
  <c r="J68" s="1"/>
  <c r="G25"/>
  <c r="G68" s="1"/>
  <c r="E40"/>
  <c r="F68"/>
  <c r="E43"/>
  <c r="E67" s="1"/>
  <c r="I68"/>
  <c r="E28"/>
  <c r="E30"/>
  <c r="E31" l="1"/>
  <c r="E33" s="1"/>
  <c r="E25"/>
  <c r="E68" l="1"/>
  <c r="I508" i="31" l="1"/>
  <c r="I490"/>
  <c r="I518"/>
  <c r="I511"/>
  <c r="I495"/>
  <c r="I505"/>
  <c r="I497"/>
  <c r="F113" i="7"/>
  <c r="I520" i="31"/>
  <c r="I496"/>
  <c r="I502"/>
  <c r="I516"/>
  <c r="I493"/>
  <c r="I476"/>
  <c r="I515"/>
  <c r="I480"/>
  <c r="I466"/>
  <c r="I479"/>
  <c r="I506"/>
  <c r="I498"/>
  <c r="I500"/>
  <c r="I512"/>
  <c r="I590"/>
  <c r="I510"/>
  <c r="I513"/>
  <c r="I483"/>
  <c r="I507"/>
  <c r="I491"/>
  <c r="I517"/>
  <c r="I250"/>
  <c r="I269"/>
  <c r="I251"/>
  <c r="I162"/>
  <c r="I121"/>
  <c r="I267"/>
  <c r="I254"/>
  <c r="I158"/>
  <c r="I161"/>
  <c r="I255"/>
  <c r="I88"/>
  <c r="I163"/>
  <c r="I242"/>
  <c r="I256"/>
  <c r="I237"/>
  <c r="I91"/>
  <c r="I160"/>
  <c r="I41"/>
  <c r="I461"/>
  <c r="H30" i="23"/>
  <c r="BG26" i="28" l="1"/>
  <c r="T13"/>
  <c r="BG52" l="1"/>
  <c r="BG51"/>
  <c r="BG49"/>
  <c r="BG48"/>
  <c r="BG46"/>
  <c r="BG45"/>
  <c r="BG44"/>
  <c r="BG42"/>
  <c r="BG41"/>
  <c r="BG40"/>
  <c r="BG39"/>
  <c r="BG38"/>
  <c r="BG36"/>
  <c r="BG35"/>
  <c r="BG34"/>
  <c r="BG33"/>
  <c r="BG31"/>
  <c r="BG30"/>
  <c r="BG29"/>
  <c r="BG28"/>
  <c r="BG27"/>
  <c r="BG24"/>
  <c r="BG23"/>
  <c r="BG22"/>
  <c r="BG21"/>
  <c r="BG20"/>
  <c r="BG19"/>
  <c r="BG17"/>
  <c r="BG16"/>
  <c r="BG15"/>
  <c r="BG14"/>
  <c r="BG13"/>
  <c r="BG12"/>
  <c r="BG11"/>
  <c r="BG10"/>
  <c r="BG9"/>
  <c r="AT49"/>
  <c r="AT48"/>
  <c r="AT46"/>
  <c r="AT45"/>
  <c r="AT44"/>
  <c r="AT42"/>
  <c r="AT41"/>
  <c r="AT40"/>
  <c r="AT39"/>
  <c r="AT38"/>
  <c r="AT36"/>
  <c r="AT35"/>
  <c r="AT34"/>
  <c r="AT33"/>
  <c r="AT31"/>
  <c r="AT30"/>
  <c r="AT29"/>
  <c r="AT28"/>
  <c r="AT27"/>
  <c r="AT26"/>
  <c r="AT24"/>
  <c r="AT23"/>
  <c r="AT22"/>
  <c r="AT21"/>
  <c r="AT20"/>
  <c r="AT19"/>
  <c r="AT17"/>
  <c r="AT16"/>
  <c r="AT15"/>
  <c r="AT14"/>
  <c r="AT13"/>
  <c r="AT12"/>
  <c r="AT11"/>
  <c r="AT10"/>
  <c r="AT9"/>
  <c r="AG49"/>
  <c r="AG48"/>
  <c r="AG46"/>
  <c r="AG45"/>
  <c r="AG44"/>
  <c r="AG42"/>
  <c r="AG41"/>
  <c r="AG40"/>
  <c r="AG39"/>
  <c r="AG38"/>
  <c r="AG36"/>
  <c r="AG35"/>
  <c r="AG34"/>
  <c r="AG33"/>
  <c r="AG31"/>
  <c r="AG30"/>
  <c r="E30" s="1"/>
  <c r="AG29"/>
  <c r="AG28"/>
  <c r="AG27"/>
  <c r="AG26"/>
  <c r="AG24"/>
  <c r="AG23"/>
  <c r="AG22"/>
  <c r="AG21"/>
  <c r="AG20"/>
  <c r="AG19"/>
  <c r="AG17"/>
  <c r="AG16"/>
  <c r="AG15"/>
  <c r="AG14"/>
  <c r="AG13"/>
  <c r="AG12"/>
  <c r="AG11"/>
  <c r="AG10"/>
  <c r="AG9"/>
  <c r="T49"/>
  <c r="T48"/>
  <c r="T46"/>
  <c r="E46" s="1"/>
  <c r="T45"/>
  <c r="T44"/>
  <c r="T42"/>
  <c r="E42" s="1"/>
  <c r="T41"/>
  <c r="E41" s="1"/>
  <c r="T40"/>
  <c r="T39"/>
  <c r="T38"/>
  <c r="T36"/>
  <c r="E36" s="1"/>
  <c r="T35"/>
  <c r="T34"/>
  <c r="T33"/>
  <c r="T31"/>
  <c r="T30"/>
  <c r="T29"/>
  <c r="T28"/>
  <c r="T27"/>
  <c r="T26"/>
  <c r="T24"/>
  <c r="T23"/>
  <c r="E23" s="1"/>
  <c r="T22"/>
  <c r="T21"/>
  <c r="T20"/>
  <c r="T19"/>
  <c r="T17"/>
  <c r="E17" s="1"/>
  <c r="T16"/>
  <c r="T15"/>
  <c r="T14"/>
  <c r="E14" s="1"/>
  <c r="T12"/>
  <c r="T11"/>
  <c r="T10"/>
  <c r="T9"/>
  <c r="BF47"/>
  <c r="BE47"/>
  <c r="BD47"/>
  <c r="BC47"/>
  <c r="BB47"/>
  <c r="BA47"/>
  <c r="AZ47"/>
  <c r="AY47"/>
  <c r="AX47"/>
  <c r="AW47"/>
  <c r="AV47"/>
  <c r="AU47"/>
  <c r="AS47"/>
  <c r="AR47"/>
  <c r="AQ47"/>
  <c r="AP47"/>
  <c r="AO47"/>
  <c r="AN47"/>
  <c r="AM47"/>
  <c r="AL47"/>
  <c r="AK47"/>
  <c r="AJ47"/>
  <c r="AI47"/>
  <c r="AH47"/>
  <c r="AF47"/>
  <c r="AE47"/>
  <c r="AD47"/>
  <c r="AC47"/>
  <c r="AB47"/>
  <c r="AA47"/>
  <c r="Z47"/>
  <c r="Y47"/>
  <c r="X47"/>
  <c r="W47"/>
  <c r="V47"/>
  <c r="U47"/>
  <c r="S47"/>
  <c r="R47"/>
  <c r="Q47"/>
  <c r="P47"/>
  <c r="O47"/>
  <c r="N47"/>
  <c r="M47"/>
  <c r="L47"/>
  <c r="K47"/>
  <c r="J47"/>
  <c r="I47"/>
  <c r="H47"/>
  <c r="BF43"/>
  <c r="BE43"/>
  <c r="BD43"/>
  <c r="BC43"/>
  <c r="BB43"/>
  <c r="BA43"/>
  <c r="AZ43"/>
  <c r="AY43"/>
  <c r="AX43"/>
  <c r="AW43"/>
  <c r="AV43"/>
  <c r="AU43"/>
  <c r="AS43"/>
  <c r="AR43"/>
  <c r="AQ43"/>
  <c r="AP43"/>
  <c r="AO43"/>
  <c r="AN43"/>
  <c r="AM43"/>
  <c r="AL43"/>
  <c r="AK43"/>
  <c r="AJ43"/>
  <c r="AI43"/>
  <c r="AH43"/>
  <c r="AF43"/>
  <c r="AE43"/>
  <c r="AD43"/>
  <c r="AC43"/>
  <c r="AB43"/>
  <c r="AA43"/>
  <c r="Z43"/>
  <c r="Y43"/>
  <c r="X43"/>
  <c r="W43"/>
  <c r="V43"/>
  <c r="U43"/>
  <c r="S43"/>
  <c r="R43"/>
  <c r="Q43"/>
  <c r="P43"/>
  <c r="O43"/>
  <c r="N43"/>
  <c r="M43"/>
  <c r="L43"/>
  <c r="K43"/>
  <c r="J43"/>
  <c r="I43"/>
  <c r="H43"/>
  <c r="BF37"/>
  <c r="BE37"/>
  <c r="BD37"/>
  <c r="BC37"/>
  <c r="BB37"/>
  <c r="BA37"/>
  <c r="AZ37"/>
  <c r="AY37"/>
  <c r="AX37"/>
  <c r="AW37"/>
  <c r="AV37"/>
  <c r="AU37"/>
  <c r="AS37"/>
  <c r="AR37"/>
  <c r="AQ37"/>
  <c r="AP37"/>
  <c r="AO37"/>
  <c r="AN37"/>
  <c r="AM37"/>
  <c r="AL37"/>
  <c r="AK37"/>
  <c r="AJ37"/>
  <c r="AI37"/>
  <c r="AH37"/>
  <c r="AF37"/>
  <c r="AE37"/>
  <c r="AD37"/>
  <c r="AC37"/>
  <c r="AB37"/>
  <c r="AA37"/>
  <c r="Y37"/>
  <c r="X37"/>
  <c r="W37"/>
  <c r="V37"/>
  <c r="U37"/>
  <c r="S37"/>
  <c r="R37"/>
  <c r="Q37"/>
  <c r="P37"/>
  <c r="O37"/>
  <c r="N37"/>
  <c r="M37"/>
  <c r="L37"/>
  <c r="K37"/>
  <c r="J37"/>
  <c r="I37"/>
  <c r="H37"/>
  <c r="BF25"/>
  <c r="BE25"/>
  <c r="BD25"/>
  <c r="BC25"/>
  <c r="BB25"/>
  <c r="BA25"/>
  <c r="AY25"/>
  <c r="AS25"/>
  <c r="AR25"/>
  <c r="AQ25"/>
  <c r="AO25"/>
  <c r="AF25"/>
  <c r="AE25"/>
  <c r="AD25"/>
  <c r="AA25"/>
  <c r="Y25"/>
  <c r="S25"/>
  <c r="R25"/>
  <c r="Q25"/>
  <c r="P25"/>
  <c r="O25"/>
  <c r="N25"/>
  <c r="L25"/>
  <c r="K25"/>
  <c r="J25"/>
  <c r="I25"/>
  <c r="H25"/>
  <c r="AZ25"/>
  <c r="AW25"/>
  <c r="AU25"/>
  <c r="U25"/>
  <c r="AX25"/>
  <c r="AV25"/>
  <c r="AN25"/>
  <c r="AL25"/>
  <c r="AK25"/>
  <c r="AJ25"/>
  <c r="AI25"/>
  <c r="AH25"/>
  <c r="AB25"/>
  <c r="X25"/>
  <c r="V25"/>
  <c r="BF18"/>
  <c r="BE18"/>
  <c r="BD18"/>
  <c r="BC18"/>
  <c r="BB18"/>
  <c r="BA18"/>
  <c r="AZ18"/>
  <c r="AY18"/>
  <c r="AY50" s="1"/>
  <c r="AX18"/>
  <c r="AW18"/>
  <c r="AV18"/>
  <c r="AU18"/>
  <c r="AS18"/>
  <c r="AR18"/>
  <c r="AQ18"/>
  <c r="AO18"/>
  <c r="AI18"/>
  <c r="AH18"/>
  <c r="AF18"/>
  <c r="AE18"/>
  <c r="AD18"/>
  <c r="AC18"/>
  <c r="AB18"/>
  <c r="AA18"/>
  <c r="Y18"/>
  <c r="X18"/>
  <c r="W18"/>
  <c r="V18"/>
  <c r="U18"/>
  <c r="S18"/>
  <c r="R18"/>
  <c r="Q18"/>
  <c r="AN18"/>
  <c r="AL18"/>
  <c r="P18"/>
  <c r="O18"/>
  <c r="N18"/>
  <c r="L18"/>
  <c r="J18"/>
  <c r="I18"/>
  <c r="H18"/>
  <c r="D4"/>
  <c r="E13" l="1"/>
  <c r="E29"/>
  <c r="E16"/>
  <c r="E35"/>
  <c r="E45"/>
  <c r="E31"/>
  <c r="E32" s="1"/>
  <c r="E24"/>
  <c r="E34"/>
  <c r="E37" s="1"/>
  <c r="E15"/>
  <c r="E22"/>
  <c r="E21"/>
  <c r="E12"/>
  <c r="J50"/>
  <c r="AN50"/>
  <c r="AN51" s="1"/>
  <c r="AT51" s="1"/>
  <c r="Y50"/>
  <c r="AX50"/>
  <c r="BB50"/>
  <c r="BF50"/>
  <c r="AG47"/>
  <c r="X50"/>
  <c r="X52" s="1"/>
  <c r="AB50"/>
  <c r="AF50"/>
  <c r="AT47"/>
  <c r="N50"/>
  <c r="N51" s="1"/>
  <c r="AH50"/>
  <c r="AU50"/>
  <c r="AO50"/>
  <c r="BG47"/>
  <c r="T43"/>
  <c r="AG43"/>
  <c r="AT43"/>
  <c r="BG43"/>
  <c r="T47"/>
  <c r="T37"/>
  <c r="AG37"/>
  <c r="AT37"/>
  <c r="BG37"/>
  <c r="T32"/>
  <c r="AG32"/>
  <c r="AT32"/>
  <c r="BG32"/>
  <c r="AC50"/>
  <c r="BC50"/>
  <c r="K50"/>
  <c r="O50"/>
  <c r="O51" s="1"/>
  <c r="Q50"/>
  <c r="AD50"/>
  <c r="AI50"/>
  <c r="BD50"/>
  <c r="E43"/>
  <c r="I50"/>
  <c r="M50"/>
  <c r="AL50"/>
  <c r="AL52" s="1"/>
  <c r="S50"/>
  <c r="AM50"/>
  <c r="AS50"/>
  <c r="U50"/>
  <c r="AG18"/>
  <c r="H50"/>
  <c r="H51" s="1"/>
  <c r="L50"/>
  <c r="P50"/>
  <c r="AK50"/>
  <c r="R50"/>
  <c r="W50"/>
  <c r="AA50"/>
  <c r="AA51" s="1"/>
  <c r="AG51" s="1"/>
  <c r="AJ50"/>
  <c r="AW50"/>
  <c r="BA50"/>
  <c r="BE50"/>
  <c r="BG18"/>
  <c r="T25"/>
  <c r="BG25"/>
  <c r="AT18"/>
  <c r="AR50"/>
  <c r="AE50"/>
  <c r="AG25"/>
  <c r="T18"/>
  <c r="AQ50"/>
  <c r="E47"/>
  <c r="V50"/>
  <c r="Z50"/>
  <c r="AV50"/>
  <c r="AZ50"/>
  <c r="AP25"/>
  <c r="AT25" s="1"/>
  <c r="AG52" l="1"/>
  <c r="E48"/>
  <c r="E18"/>
  <c r="T50"/>
  <c r="G53"/>
  <c r="BG50"/>
  <c r="AT52"/>
  <c r="AG50"/>
  <c r="E25"/>
  <c r="E38"/>
  <c r="AP50"/>
  <c r="AT50" s="1"/>
  <c r="E26" l="1"/>
  <c r="E50" l="1"/>
  <c r="E52" s="1"/>
  <c r="E45" i="22"/>
  <c r="E41"/>
  <c r="E35"/>
  <c r="E30"/>
  <c r="E24"/>
  <c r="E23"/>
  <c r="E14"/>
  <c r="E13"/>
  <c r="D4"/>
  <c r="E42" l="1"/>
  <c r="E43" s="1"/>
  <c r="E46"/>
  <c r="E47" s="1"/>
  <c r="E36"/>
  <c r="E31"/>
  <c r="E29"/>
  <c r="E16"/>
  <c r="E34"/>
  <c r="E12"/>
  <c r="E17"/>
  <c r="E22"/>
  <c r="E37" l="1"/>
  <c r="E48"/>
  <c r="E32"/>
  <c r="E21"/>
  <c r="E25" s="1"/>
  <c r="E15"/>
  <c r="E18" s="1"/>
  <c r="E31" i="23"/>
  <c r="E38" i="22" l="1"/>
  <c r="E26"/>
  <c r="E50" l="1"/>
  <c r="E52" s="1"/>
  <c r="R26" i="26" l="1"/>
  <c r="Q26"/>
  <c r="P26"/>
  <c r="O26"/>
  <c r="N26"/>
  <c r="M26"/>
  <c r="L26"/>
  <c r="D12" i="27" l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11"/>
  <c r="D34" s="1"/>
  <c r="H34"/>
  <c r="G34"/>
  <c r="F34"/>
  <c r="E34"/>
  <c r="K26" i="26"/>
  <c r="D20" l="1"/>
  <c r="G54" i="28" l="1"/>
  <c r="E7" i="33" l="1"/>
  <c r="K229" i="7" l="1"/>
  <c r="F293" i="8"/>
  <c r="F75"/>
  <c r="F79" l="1"/>
  <c r="F210" i="7"/>
  <c r="F42" i="8"/>
  <c r="F59"/>
  <c r="F154" i="7"/>
  <c r="F87"/>
  <c r="F95" l="1"/>
  <c r="B4" i="2" l="1"/>
  <c r="Q28" i="26" l="1"/>
  <c r="P28"/>
  <c r="O28"/>
  <c r="N28"/>
  <c r="M28"/>
  <c r="L28"/>
  <c r="K28"/>
  <c r="J26"/>
  <c r="J28" s="1"/>
  <c r="I26"/>
  <c r="I28" s="1"/>
  <c r="H26"/>
  <c r="H28" s="1"/>
  <c r="G26"/>
  <c r="G28" s="1"/>
  <c r="D19"/>
  <c r="D18"/>
  <c r="D17"/>
  <c r="D16"/>
  <c r="D14"/>
  <c r="D13"/>
  <c r="R28"/>
  <c r="D10"/>
  <c r="D25" l="1"/>
  <c r="F150" i="7" l="1"/>
  <c r="C18" i="36" l="1"/>
  <c r="F300" i="8" l="1"/>
  <c r="E11" i="23" l="1"/>
  <c r="A23" l="1"/>
  <c r="A51" s="1"/>
  <c r="E30"/>
  <c r="E37" s="1"/>
  <c r="K37" s="1"/>
  <c r="E14"/>
  <c r="I72"/>
  <c r="H72"/>
  <c r="G72"/>
  <c r="F72"/>
  <c r="E72"/>
  <c r="I37"/>
  <c r="H37"/>
  <c r="G37"/>
  <c r="F37"/>
  <c r="I14"/>
  <c r="H14"/>
  <c r="G14"/>
  <c r="F14"/>
  <c r="I320" i="31" l="1"/>
  <c r="I482"/>
  <c r="I481"/>
  <c r="I143" l="1"/>
  <c r="C17" i="36" l="1"/>
  <c r="I270" i="31" l="1"/>
  <c r="I589"/>
  <c r="I243"/>
  <c r="I252"/>
  <c r="I519"/>
  <c r="I303" l="1"/>
  <c r="F176" i="7"/>
  <c r="I238" i="31"/>
  <c r="T51" i="28" l="1"/>
  <c r="T52" l="1"/>
  <c r="I277" i="35"/>
  <c r="K277" s="1"/>
  <c r="J277"/>
  <c r="M277" s="1"/>
  <c r="I276"/>
  <c r="K276" s="1"/>
  <c r="J276"/>
  <c r="M276" s="1"/>
  <c r="C277" l="1"/>
  <c r="G485" i="31" s="1"/>
  <c r="I485" s="1"/>
  <c r="C276" i="35"/>
  <c r="F119" i="8" l="1"/>
  <c r="G484" i="31"/>
  <c r="I484" s="1"/>
  <c r="F118" i="8"/>
  <c r="J297" i="35" l="1"/>
  <c r="M297" s="1"/>
  <c r="J301"/>
  <c r="M301" s="1"/>
  <c r="I301"/>
  <c r="K301" s="1"/>
  <c r="J287"/>
  <c r="M287" s="1"/>
  <c r="J168"/>
  <c r="M168" s="1"/>
  <c r="J303"/>
  <c r="M303" s="1"/>
  <c r="J140"/>
  <c r="M140" s="1"/>
  <c r="J78"/>
  <c r="M78" s="1"/>
  <c r="C301" l="1"/>
  <c r="G501" i="31" s="1"/>
  <c r="I501" s="1"/>
  <c r="Q420" i="35"/>
  <c r="F150" i="8" l="1"/>
  <c r="I289" i="35" l="1"/>
  <c r="K289" s="1"/>
  <c r="C289" s="1"/>
  <c r="F137" i="8" l="1"/>
  <c r="G494" i="31"/>
  <c r="I494" s="1"/>
  <c r="I297" i="35" l="1"/>
  <c r="K297" s="1"/>
  <c r="C297" s="1"/>
  <c r="I287"/>
  <c r="K287" s="1"/>
  <c r="C287" s="1"/>
  <c r="I168"/>
  <c r="K168" s="1"/>
  <c r="E168" s="1"/>
  <c r="I303"/>
  <c r="K303" s="1"/>
  <c r="C303" s="1"/>
  <c r="I140"/>
  <c r="K140" s="1"/>
  <c r="C140" s="1"/>
  <c r="I78"/>
  <c r="K78" s="1"/>
  <c r="C78" s="1"/>
  <c r="F156" i="7" l="1"/>
  <c r="F168" s="1"/>
  <c r="G272" i="31"/>
  <c r="I280" s="1"/>
  <c r="G385"/>
  <c r="I404" s="1"/>
  <c r="F197" i="7"/>
  <c r="G164" i="31"/>
  <c r="I200" s="1"/>
  <c r="G492"/>
  <c r="I492" s="1"/>
  <c r="F134" i="8"/>
  <c r="P420" i="35"/>
  <c r="Q421" s="1"/>
  <c r="G503" i="31"/>
  <c r="I503" s="1"/>
  <c r="F153" i="8"/>
  <c r="G499" i="31"/>
  <c r="I499" s="1"/>
  <c r="F146" i="8"/>
  <c r="J390" i="35" l="1"/>
  <c r="M390" s="1"/>
  <c r="I390"/>
  <c r="K390" s="1"/>
  <c r="J268"/>
  <c r="M268" s="1"/>
  <c r="I268"/>
  <c r="K268" s="1"/>
  <c r="J93"/>
  <c r="M93" s="1"/>
  <c r="I93"/>
  <c r="K93" s="1"/>
  <c r="C390" l="1"/>
  <c r="F254" i="8" s="1"/>
  <c r="E93" i="35"/>
  <c r="C268"/>
  <c r="G556" i="31" l="1"/>
  <c r="I558" s="1"/>
  <c r="F110" i="8"/>
  <c r="G478" i="31"/>
  <c r="I478" s="1"/>
  <c r="F115" i="7"/>
  <c r="G239" i="31"/>
  <c r="I241" s="1"/>
  <c r="J15" i="35" l="1"/>
  <c r="M15" s="1"/>
  <c r="I15"/>
  <c r="K15" s="1"/>
  <c r="C15" l="1"/>
  <c r="F20" i="7" s="1"/>
  <c r="G21" i="31" l="1"/>
  <c r="I33" s="1"/>
  <c r="O411" i="35"/>
  <c r="J411" s="1"/>
  <c r="M411" s="1"/>
  <c r="O252"/>
  <c r="J252" s="1"/>
  <c r="M252" s="1"/>
  <c r="O199"/>
  <c r="O180"/>
  <c r="J180" s="1"/>
  <c r="M180" s="1"/>
  <c r="O179"/>
  <c r="O167"/>
  <c r="O158"/>
  <c r="J158" s="1"/>
  <c r="M158" s="1"/>
  <c r="O34"/>
  <c r="J34" s="1"/>
  <c r="M34" s="1"/>
  <c r="O32"/>
  <c r="J32" s="1"/>
  <c r="M32" s="1"/>
  <c r="O26"/>
  <c r="O13"/>
  <c r="J13" s="1"/>
  <c r="M13" s="1"/>
  <c r="O12"/>
  <c r="J12" s="1"/>
  <c r="M12" s="1"/>
  <c r="N411"/>
  <c r="I411" s="1"/>
  <c r="K411" s="1"/>
  <c r="N256"/>
  <c r="N252"/>
  <c r="I252" s="1"/>
  <c r="K252" s="1"/>
  <c r="N199"/>
  <c r="N195"/>
  <c r="I195" s="1"/>
  <c r="K195" s="1"/>
  <c r="N180"/>
  <c r="I180" s="1"/>
  <c r="K180" s="1"/>
  <c r="N179"/>
  <c r="N167"/>
  <c r="N158"/>
  <c r="I158" s="1"/>
  <c r="K158" s="1"/>
  <c r="E158" s="1"/>
  <c r="N34"/>
  <c r="I34" s="1"/>
  <c r="K34" s="1"/>
  <c r="N32"/>
  <c r="I32" s="1"/>
  <c r="K32" s="1"/>
  <c r="N26"/>
  <c r="N13"/>
  <c r="I13" s="1"/>
  <c r="K13" s="1"/>
  <c r="N12"/>
  <c r="I12" s="1"/>
  <c r="K12" s="1"/>
  <c r="C13" l="1"/>
  <c r="F18" i="7" s="1"/>
  <c r="C411" i="35"/>
  <c r="F25" i="8" s="1"/>
  <c r="C34" i="35"/>
  <c r="G122" i="31" s="1"/>
  <c r="I136" s="1"/>
  <c r="E180" i="35"/>
  <c r="G442" i="31" s="1"/>
  <c r="I459" s="1"/>
  <c r="C12" i="35"/>
  <c r="F16" i="7" s="1"/>
  <c r="E252" i="35"/>
  <c r="F91" i="8" s="1"/>
  <c r="C32" i="35"/>
  <c r="G93" i="31" s="1"/>
  <c r="I96" s="1"/>
  <c r="F184" i="7"/>
  <c r="G321" i="31"/>
  <c r="I350" s="1"/>
  <c r="F215" i="7"/>
  <c r="G18" i="31" l="1"/>
  <c r="I19" s="1"/>
  <c r="G468"/>
  <c r="I470" s="1"/>
  <c r="G588"/>
  <c r="I588" s="1"/>
  <c r="L68" i="2"/>
  <c r="G13" i="31"/>
  <c r="I17" s="1"/>
  <c r="F46" i="7"/>
  <c r="F43"/>
  <c r="O256" i="35"/>
  <c r="O195" l="1"/>
  <c r="J195" s="1"/>
  <c r="M195" s="1"/>
  <c r="E195" s="1"/>
  <c r="O9"/>
  <c r="N9"/>
  <c r="G464" i="31" l="1"/>
  <c r="I464" s="1"/>
  <c r="F24" i="8"/>
  <c r="O420" i="35"/>
  <c r="J9"/>
  <c r="N420"/>
  <c r="I9"/>
  <c r="M9" l="1"/>
  <c r="O421"/>
  <c r="O422"/>
  <c r="K9"/>
  <c r="C9" l="1"/>
  <c r="G9" i="31" l="1"/>
  <c r="I12" s="1"/>
  <c r="F13" i="7"/>
  <c r="F25" s="1"/>
  <c r="F52" i="22" l="1"/>
  <c r="G52" i="28"/>
  <c r="F52" i="32"/>
  <c r="E28" i="36"/>
  <c r="E30" s="1"/>
  <c r="J79" i="35" l="1"/>
  <c r="M79" s="1"/>
  <c r="J97"/>
  <c r="M97" s="1"/>
  <c r="J105"/>
  <c r="M105" s="1"/>
  <c r="J117"/>
  <c r="M117" s="1"/>
  <c r="J119"/>
  <c r="M119" s="1"/>
  <c r="J129"/>
  <c r="M129" s="1"/>
  <c r="J160"/>
  <c r="M160" s="1"/>
  <c r="J161"/>
  <c r="M161" s="1"/>
  <c r="J167"/>
  <c r="M167" s="1"/>
  <c r="J171"/>
  <c r="M171" s="1"/>
  <c r="J179"/>
  <c r="M179" s="1"/>
  <c r="J199"/>
  <c r="M199" s="1"/>
  <c r="J244"/>
  <c r="M244" s="1"/>
  <c r="J256"/>
  <c r="M256" s="1"/>
  <c r="J257"/>
  <c r="M257" s="1"/>
  <c r="J261"/>
  <c r="M261" s="1"/>
  <c r="J264"/>
  <c r="M264" s="1"/>
  <c r="J278"/>
  <c r="M278" s="1"/>
  <c r="J279"/>
  <c r="M279" s="1"/>
  <c r="J280"/>
  <c r="M280" s="1"/>
  <c r="J281"/>
  <c r="M281" s="1"/>
  <c r="J328"/>
  <c r="M328" s="1"/>
  <c r="J383"/>
  <c r="M383" s="1"/>
  <c r="J392"/>
  <c r="M392" s="1"/>
  <c r="J396"/>
  <c r="M396" s="1"/>
  <c r="J402"/>
  <c r="M402" s="1"/>
  <c r="J403"/>
  <c r="M403" s="1"/>
  <c r="J408"/>
  <c r="M408" s="1"/>
  <c r="I79"/>
  <c r="K79" s="1"/>
  <c r="I97"/>
  <c r="K97" s="1"/>
  <c r="I105"/>
  <c r="K105" s="1"/>
  <c r="I117"/>
  <c r="K117" s="1"/>
  <c r="I119"/>
  <c r="K119" s="1"/>
  <c r="I129"/>
  <c r="K129" s="1"/>
  <c r="I160"/>
  <c r="K160" s="1"/>
  <c r="I161"/>
  <c r="K161" s="1"/>
  <c r="I162"/>
  <c r="K162" s="1"/>
  <c r="I163"/>
  <c r="K163" s="1"/>
  <c r="I167"/>
  <c r="K167" s="1"/>
  <c r="I171"/>
  <c r="K171" s="1"/>
  <c r="I179"/>
  <c r="K179" s="1"/>
  <c r="I199"/>
  <c r="K199" s="1"/>
  <c r="E199" s="1"/>
  <c r="I244"/>
  <c r="K244" s="1"/>
  <c r="I256"/>
  <c r="K256" s="1"/>
  <c r="I257"/>
  <c r="K257" s="1"/>
  <c r="I261"/>
  <c r="K261" s="1"/>
  <c r="C261" s="1"/>
  <c r="I264"/>
  <c r="K264" s="1"/>
  <c r="I278"/>
  <c r="K278" s="1"/>
  <c r="C278" s="1"/>
  <c r="I279"/>
  <c r="K279" s="1"/>
  <c r="I280"/>
  <c r="K280" s="1"/>
  <c r="C280" s="1"/>
  <c r="I281"/>
  <c r="K281" s="1"/>
  <c r="I328"/>
  <c r="K328" s="1"/>
  <c r="I383"/>
  <c r="K383" s="1"/>
  <c r="I392"/>
  <c r="K392" s="1"/>
  <c r="C392" s="1"/>
  <c r="I396"/>
  <c r="K396" s="1"/>
  <c r="I402"/>
  <c r="K402" s="1"/>
  <c r="I403"/>
  <c r="K403" s="1"/>
  <c r="I408"/>
  <c r="K408" s="1"/>
  <c r="C396" l="1"/>
  <c r="C281"/>
  <c r="C264"/>
  <c r="C279"/>
  <c r="G487" i="31" s="1"/>
  <c r="I487" s="1"/>
  <c r="C257" i="35"/>
  <c r="G473" i="31" s="1"/>
  <c r="I473" s="1"/>
  <c r="E179" i="35"/>
  <c r="C402"/>
  <c r="F267" i="8" s="1"/>
  <c r="C328" i="35"/>
  <c r="G509" i="31" s="1"/>
  <c r="I509" s="1"/>
  <c r="C403" i="35"/>
  <c r="F268" i="8" s="1"/>
  <c r="C383" i="35"/>
  <c r="F245" i="8" s="1"/>
  <c r="C408" i="35"/>
  <c r="G559" i="31"/>
  <c r="I565" s="1"/>
  <c r="F256" i="8"/>
  <c r="G486" i="31"/>
  <c r="I486" s="1"/>
  <c r="F121" i="8"/>
  <c r="T420" i="35"/>
  <c r="I26"/>
  <c r="J26"/>
  <c r="E161"/>
  <c r="E117"/>
  <c r="G578" i="31"/>
  <c r="I578" s="1"/>
  <c r="F214" i="7"/>
  <c r="F216" s="1"/>
  <c r="C37" i="36" s="1"/>
  <c r="G413" i="31"/>
  <c r="I440" s="1"/>
  <c r="E244" i="35"/>
  <c r="E167"/>
  <c r="E119"/>
  <c r="E79"/>
  <c r="G579" i="31"/>
  <c r="I587" s="1"/>
  <c r="F275" i="8"/>
  <c r="G474" i="31"/>
  <c r="I474" s="1"/>
  <c r="F102" i="8"/>
  <c r="F29"/>
  <c r="F30" s="1"/>
  <c r="G465" i="31"/>
  <c r="I465" s="1"/>
  <c r="E256" i="35"/>
  <c r="E171"/>
  <c r="E129"/>
  <c r="E97"/>
  <c r="F123" i="8"/>
  <c r="G488" i="31"/>
  <c r="I488" s="1"/>
  <c r="G567"/>
  <c r="I567" s="1"/>
  <c r="F261" i="8"/>
  <c r="G489" i="31"/>
  <c r="I489" s="1"/>
  <c r="F124" i="8"/>
  <c r="G475" i="31"/>
  <c r="I475" s="1"/>
  <c r="F106" i="8"/>
  <c r="E160" i="35"/>
  <c r="E105"/>
  <c r="F98" i="8" l="1"/>
  <c r="F122"/>
  <c r="G521" i="31"/>
  <c r="I555" s="1"/>
  <c r="F180" i="8"/>
  <c r="G568" i="31"/>
  <c r="I577" s="1"/>
  <c r="G244"/>
  <c r="I249" s="1"/>
  <c r="F117" i="7"/>
  <c r="F119" s="1"/>
  <c r="G379" i="31"/>
  <c r="I382" s="1"/>
  <c r="F195" i="7"/>
  <c r="M26" i="35"/>
  <c r="F187" i="7"/>
  <c r="G352" i="31"/>
  <c r="I359" s="1"/>
  <c r="G472"/>
  <c r="I472" s="1"/>
  <c r="F223" i="7"/>
  <c r="C12" i="33" s="1"/>
  <c r="F130" i="7"/>
  <c r="G268" i="31"/>
  <c r="I268" s="1"/>
  <c r="F188" i="7"/>
  <c r="G361" i="31"/>
  <c r="I368" s="1"/>
  <c r="F139" i="7"/>
  <c r="F140" s="1"/>
  <c r="G283" i="31"/>
  <c r="I286" s="1"/>
  <c r="D31" i="26"/>
  <c r="F84" i="8"/>
  <c r="G467" i="31"/>
  <c r="I467" s="1"/>
  <c r="G253"/>
  <c r="I253" s="1"/>
  <c r="F123" i="7"/>
  <c r="G406" i="31"/>
  <c r="I411" s="1"/>
  <c r="F200" i="7"/>
  <c r="F104"/>
  <c r="F108" s="1"/>
  <c r="G201" i="31"/>
  <c r="I235" s="1"/>
  <c r="F129" i="7"/>
  <c r="G257" i="31"/>
  <c r="I266" s="1"/>
  <c r="K26" i="35"/>
  <c r="I420"/>
  <c r="F131" i="8"/>
  <c r="F281" s="1"/>
  <c r="F132" i="7" l="1"/>
  <c r="F169" s="1"/>
  <c r="C14" i="36" s="1"/>
  <c r="C26" i="35"/>
  <c r="K420"/>
  <c r="I29" i="26"/>
  <c r="F93" i="8"/>
  <c r="F94" s="1"/>
  <c r="F282" s="1"/>
  <c r="F289" s="1"/>
  <c r="F301" s="1"/>
  <c r="F306" s="1"/>
  <c r="F222" i="7" s="1"/>
  <c r="F228" l="1"/>
  <c r="C11" i="33"/>
  <c r="E12" s="1"/>
  <c r="E14" s="1"/>
  <c r="E27" s="1"/>
  <c r="G43" i="31"/>
  <c r="I85" s="1"/>
  <c r="F35" i="7"/>
  <c r="F48" s="1"/>
  <c r="C420" i="35"/>
  <c r="F27" i="33" l="1"/>
  <c r="E12" i="36"/>
  <c r="C16"/>
  <c r="E23" s="1"/>
  <c r="F88" i="7"/>
  <c r="F177" s="1"/>
  <c r="E25" i="36" l="1"/>
  <c r="J163" i="35" l="1"/>
  <c r="M163" s="1"/>
  <c r="E163" s="1"/>
  <c r="F190" i="7" l="1"/>
  <c r="G375" i="31"/>
  <c r="I376" s="1"/>
  <c r="J162" i="35" l="1"/>
  <c r="U420"/>
  <c r="M162" l="1"/>
  <c r="J420"/>
  <c r="J421" s="1"/>
  <c r="U421"/>
  <c r="U422"/>
  <c r="E162" l="1"/>
  <c r="M420"/>
  <c r="M421" s="1"/>
  <c r="G370" i="31" l="1"/>
  <c r="I373" s="1"/>
  <c r="F189" i="7"/>
  <c r="F201" s="1"/>
  <c r="E420" i="35"/>
  <c r="F424" s="1"/>
  <c r="F211" i="7" l="1"/>
  <c r="F229" s="1"/>
  <c r="J229" s="1"/>
  <c r="C36" i="36"/>
  <c r="E38" s="1"/>
  <c r="E40" s="1"/>
  <c r="G40" s="1"/>
</calcChain>
</file>

<file path=xl/comments1.xml><?xml version="1.0" encoding="utf-8"?>
<comments xmlns="http://schemas.openxmlformats.org/spreadsheetml/2006/main">
  <authors>
    <author>user</author>
  </authors>
  <commentList>
    <comment ref="B30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still 765</t>
        </r>
      </text>
    </comment>
  </commentList>
</comments>
</file>

<file path=xl/sharedStrings.xml><?xml version="1.0" encoding="utf-8"?>
<sst xmlns="http://schemas.openxmlformats.org/spreadsheetml/2006/main" count="2515" uniqueCount="1152">
  <si>
    <t>BPCI</t>
  </si>
  <si>
    <t>Baylas, Renato</t>
  </si>
  <si>
    <t>Individual Withholding Tax</t>
  </si>
  <si>
    <t>ECC Contribution</t>
  </si>
  <si>
    <t>Term Insurance</t>
  </si>
  <si>
    <t>Monte de Piedad</t>
  </si>
  <si>
    <t>City Government ( General Fund)</t>
  </si>
  <si>
    <t>GENERAL SANTOS CITY</t>
  </si>
  <si>
    <t>Account Titles</t>
  </si>
  <si>
    <t>Account Code</t>
  </si>
  <si>
    <t>Debit</t>
  </si>
  <si>
    <t>Credit</t>
  </si>
  <si>
    <t>Beginning Balance</t>
  </si>
  <si>
    <t>Transactions this Month</t>
  </si>
  <si>
    <t>Ending Balance</t>
  </si>
  <si>
    <t>Cash Receipts Journal</t>
  </si>
  <si>
    <t>Cash Disbursements Journal</t>
  </si>
  <si>
    <t>Check Disbursements Journal</t>
  </si>
  <si>
    <t>General Journal</t>
  </si>
  <si>
    <t>Cash in Vault</t>
  </si>
  <si>
    <t>Cash in Bank-Local Currency, Current Account</t>
  </si>
  <si>
    <t>Cash in Bank-Local Currency, Time Deposit</t>
  </si>
  <si>
    <t>Due from Officers and Employees</t>
  </si>
  <si>
    <t>Due from Other Funds</t>
  </si>
  <si>
    <t>Receivables-Disallowances and Charges</t>
  </si>
  <si>
    <t>Office Supplies Inventory</t>
  </si>
  <si>
    <t>Drugs and Medicines Supply</t>
  </si>
  <si>
    <t>Land Improvements</t>
  </si>
  <si>
    <t>Office Buildings</t>
  </si>
  <si>
    <t>School Buildings</t>
  </si>
  <si>
    <t>Other Structures</t>
  </si>
  <si>
    <t>Office Equipment</t>
  </si>
  <si>
    <t>Furniture and Fixtures</t>
  </si>
  <si>
    <t>IT Equipment and Software</t>
  </si>
  <si>
    <t>Construction and Heavy Equipment</t>
  </si>
  <si>
    <t>Firefighting Equipment and Accessories</t>
  </si>
  <si>
    <t>Other Property, Plant &amp; Equipment</t>
  </si>
  <si>
    <t>Artesian wells, Reservoirs, Pumping Stations and Conduits</t>
  </si>
  <si>
    <t>Accounts Payable</t>
  </si>
  <si>
    <t>Due to Officers and Employees</t>
  </si>
  <si>
    <t>Due to BIR</t>
  </si>
  <si>
    <t xml:space="preserve">Due to GSIS </t>
  </si>
  <si>
    <t xml:space="preserve">Due to PAG-IBIG </t>
  </si>
  <si>
    <t xml:space="preserve">Due to PHILHEALTH </t>
  </si>
  <si>
    <t>Due to Other Funds</t>
  </si>
  <si>
    <t>Guaranty Deposits Payable</t>
  </si>
  <si>
    <t>Other Payables</t>
  </si>
  <si>
    <t>Other Deferred Credit</t>
  </si>
  <si>
    <t>Government Equity</t>
  </si>
  <si>
    <t>Interest Income</t>
  </si>
  <si>
    <t>Prior Years' Adjustment</t>
  </si>
  <si>
    <t>Salaries and Wages - Casual</t>
  </si>
  <si>
    <t>Personal Economic Relief Allowance (PERA)</t>
  </si>
  <si>
    <t>Additional Compensation Allowance</t>
  </si>
  <si>
    <t>Transportation Allowance</t>
  </si>
  <si>
    <t>Clothing / uniform Allowance</t>
  </si>
  <si>
    <t>Productivity Incentive Benefits</t>
  </si>
  <si>
    <t>Honoraria</t>
  </si>
  <si>
    <t>Overtime and Night Pay</t>
  </si>
  <si>
    <t>Cash Gift</t>
  </si>
  <si>
    <t>Year End Bonus</t>
  </si>
  <si>
    <t>Life and Retirement Insurance Contributions</t>
  </si>
  <si>
    <t>PAG-IBIG Contributions</t>
  </si>
  <si>
    <t>PHILHEALTH Contributions</t>
  </si>
  <si>
    <t>ECC Contributions</t>
  </si>
  <si>
    <t>Terminal Leave Benefits</t>
  </si>
  <si>
    <t>Other Personnel Benefits</t>
  </si>
  <si>
    <t>Travelling Expenses - Foreign</t>
  </si>
  <si>
    <t>Training Expenses</t>
  </si>
  <si>
    <t>Gasoline, Oil and Lubricants Expenses</t>
  </si>
  <si>
    <t>Other Professional Services</t>
  </si>
  <si>
    <t>Repairs &amp; Maintenance-Construction and Heavy Equipment</t>
  </si>
  <si>
    <t>Donations</t>
  </si>
  <si>
    <t>Other Maintenance and Operating Expenses</t>
  </si>
  <si>
    <t>Bank Charges</t>
  </si>
  <si>
    <t>GRAND TOTAL</t>
  </si>
  <si>
    <t xml:space="preserve"> </t>
  </si>
  <si>
    <t>Certified Correct :</t>
  </si>
  <si>
    <t>FEDERICO V. CABANIT</t>
  </si>
  <si>
    <t>City Accountant</t>
  </si>
  <si>
    <t>Other Receivables</t>
  </si>
  <si>
    <t>Technical and Scientific Equipment</t>
  </si>
  <si>
    <t>Motor Vehicles</t>
  </si>
  <si>
    <t>PHILHEALTH Payable</t>
  </si>
  <si>
    <t>SPECIAL EDUCATION FUND</t>
  </si>
  <si>
    <t>Medical, Dental and Laboratory Supplies Inventory</t>
  </si>
  <si>
    <t>Textbooks and Instructional Materials Inventory</t>
  </si>
  <si>
    <t>Other Supplies Inventory</t>
  </si>
  <si>
    <t>Accumulated Depreciation - IT Equipment and Software</t>
  </si>
  <si>
    <t>Library Books</t>
  </si>
  <si>
    <t>Agricultural, Fishery and Forestry Equipment</t>
  </si>
  <si>
    <t>Communication Equipment</t>
  </si>
  <si>
    <t>Sports Equipment</t>
  </si>
  <si>
    <t>Due to Other GOCCs</t>
  </si>
  <si>
    <t>Special Education Tax</t>
  </si>
  <si>
    <t>Salaries and Wages - Regular</t>
  </si>
  <si>
    <t>Other Bonuses and Allowances</t>
  </si>
  <si>
    <t>Hazard Pay</t>
  </si>
  <si>
    <t>Food Expenses</t>
  </si>
  <si>
    <t>Water Expenses</t>
  </si>
  <si>
    <t>Electricity Expenses</t>
  </si>
  <si>
    <t>Telephone Expenses</t>
  </si>
  <si>
    <t>Rent Expenses</t>
  </si>
  <si>
    <t>Subsidy to Other Local Government Units</t>
  </si>
  <si>
    <t>Subsidy to NGOs/Pos</t>
  </si>
  <si>
    <t>Insurance Expenses</t>
  </si>
  <si>
    <t>Depreciation - IT Equipment</t>
  </si>
  <si>
    <t>Depreciation - Technical and Scientific Equipment</t>
  </si>
  <si>
    <t>Discount on Special Education Tax</t>
  </si>
  <si>
    <t>REMARKS</t>
  </si>
  <si>
    <t>Sanchez, Rene</t>
  </si>
  <si>
    <t>Ando, Procisima</t>
  </si>
  <si>
    <t>Arancon, Virginia</t>
  </si>
  <si>
    <t>Arrivas, Delia</t>
  </si>
  <si>
    <t>Alim, Noria</t>
  </si>
  <si>
    <t>Date</t>
  </si>
  <si>
    <t>Due to PAG-IBIG</t>
  </si>
  <si>
    <t>Statement of Cash Flows</t>
  </si>
  <si>
    <t>End. Balance</t>
  </si>
  <si>
    <t>End.Balance</t>
  </si>
  <si>
    <t>Cash Flows from Operating Activities:</t>
  </si>
  <si>
    <t>Cash Inflows:</t>
  </si>
  <si>
    <t>Interest Expenses</t>
  </si>
  <si>
    <t>Total Cash Inflows</t>
  </si>
  <si>
    <t>Subsidiary Ledger Accounts</t>
  </si>
  <si>
    <t>Account Title</t>
  </si>
  <si>
    <t>General Ledger</t>
  </si>
  <si>
    <t>Subsidiary Ledger</t>
  </si>
  <si>
    <t>01</t>
  </si>
  <si>
    <t>02</t>
  </si>
  <si>
    <t>07</t>
  </si>
  <si>
    <t>Cash in Bank - Local Currency Current Account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</si>
  <si>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</si>
  <si>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</si>
  <si>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</si>
  <si>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</si>
  <si>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</si>
  <si>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</si>
  <si>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</si>
  <si>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</si>
  <si>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</si>
  <si>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</si>
  <si>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</si>
  <si>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</si>
  <si>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</si>
  <si>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Cash in Bank Local Currency Time Deposit</t>
  </si>
  <si>
    <t>17</t>
  </si>
  <si>
    <t>18</t>
  </si>
  <si>
    <t>19</t>
  </si>
  <si>
    <t>20</t>
  </si>
  <si>
    <t>21</t>
  </si>
  <si>
    <t>22</t>
  </si>
  <si>
    <t>Receivables-Disallowances/Charges</t>
  </si>
  <si>
    <t>GSIS Life &amp; Retirement Insurance Premium</t>
  </si>
  <si>
    <t>Salary Loan Installments</t>
  </si>
  <si>
    <t>Policy Loan Installments</t>
  </si>
  <si>
    <t>Pag-ibig Fund Contribution-HDMF</t>
  </si>
  <si>
    <t>Multi-Purpose  Loan Installments</t>
  </si>
  <si>
    <t>Due to PHILHEALTH</t>
  </si>
  <si>
    <t>LBP # 0171-2802-65</t>
  </si>
  <si>
    <t>Bautista, Edgar</t>
  </si>
  <si>
    <t>Go, Nestor</t>
  </si>
  <si>
    <t>Looc, Filmore</t>
  </si>
  <si>
    <t>Martinez, Noel</t>
  </si>
  <si>
    <t>Morgia, Teodoro</t>
  </si>
  <si>
    <t>Obra, Jose Sonny</t>
  </si>
  <si>
    <t>General Fund</t>
  </si>
  <si>
    <t>Special Education Tax Receivable</t>
  </si>
  <si>
    <t>Deferred Special Education Tax Income</t>
  </si>
  <si>
    <t>Fines and Penalties - Local Taxes</t>
  </si>
  <si>
    <t>FUND-200</t>
  </si>
  <si>
    <t>PARTICULARS</t>
  </si>
  <si>
    <t>Voucher</t>
  </si>
  <si>
    <t>TOTAL</t>
  </si>
  <si>
    <t xml:space="preserve"> 3 MOS. &amp; BELOW</t>
  </si>
  <si>
    <t>OVER 3 MONTHS TO 1 YEAR</t>
  </si>
  <si>
    <t>OVER 1 YEAR TO 2 YEARS</t>
  </si>
  <si>
    <t xml:space="preserve">OVER 2 YRS  </t>
  </si>
  <si>
    <t>OVER 5 YRS</t>
  </si>
  <si>
    <t>No.</t>
  </si>
  <si>
    <t>SUB-TOTAL</t>
  </si>
  <si>
    <t>TRAVELLING ALLOWANCE</t>
  </si>
  <si>
    <t>PRIOR YEARS</t>
  </si>
  <si>
    <t>VARIOUS UNDERSUBMISSIONS/UNDERCOLLECTIONS</t>
  </si>
  <si>
    <t>Jereos, Rachelle M.</t>
  </si>
  <si>
    <t>Obcena, Fausto, Jr.</t>
  </si>
  <si>
    <t xml:space="preserve">GRAND TOTAL </t>
  </si>
  <si>
    <t>Beginning</t>
  </si>
  <si>
    <t>Ending</t>
  </si>
  <si>
    <t>Bacar , Alfredo F. (deceased)</t>
  </si>
  <si>
    <t xml:space="preserve">Lawa, Angelita </t>
  </si>
  <si>
    <t xml:space="preserve">Ladera, Aristobolo </t>
  </si>
  <si>
    <t xml:space="preserve">Pascua, Cristina </t>
  </si>
  <si>
    <t xml:space="preserve">Santiago, Domingo </t>
  </si>
  <si>
    <t xml:space="preserve">Ladera, Esther </t>
  </si>
  <si>
    <t xml:space="preserve">Yu, Helen </t>
  </si>
  <si>
    <t xml:space="preserve">Sumog-oy, Kristine </t>
  </si>
  <si>
    <t xml:space="preserve">Bitalac, Labella </t>
  </si>
  <si>
    <t xml:space="preserve">Buenavista, Lilia </t>
  </si>
  <si>
    <t xml:space="preserve">Cayabyab, Marilou </t>
  </si>
  <si>
    <t xml:space="preserve">Alcantara, Marlon </t>
  </si>
  <si>
    <t xml:space="preserve">Celiz, Mary April Djohana </t>
  </si>
  <si>
    <t xml:space="preserve">Mahinay, Mary Grace </t>
  </si>
  <si>
    <t xml:space="preserve">Asedillo, Nelida </t>
  </si>
  <si>
    <t xml:space="preserve">Manaluz, Nieva </t>
  </si>
  <si>
    <t xml:space="preserve">Santimora, Olivar </t>
  </si>
  <si>
    <t xml:space="preserve">Carmona, Perla </t>
  </si>
  <si>
    <t xml:space="preserve">Domingo, Remedios </t>
  </si>
  <si>
    <t xml:space="preserve">Sabado, Rosita </t>
  </si>
  <si>
    <t xml:space="preserve">Ambia, Shaid </t>
  </si>
  <si>
    <t xml:space="preserve">Neyra, Sheira Mae </t>
  </si>
  <si>
    <t>Eulalia Moraca</t>
  </si>
  <si>
    <t>Magoncia, Florentino</t>
  </si>
  <si>
    <t>Traveling Expenses - Local</t>
  </si>
  <si>
    <t>755</t>
  </si>
  <si>
    <t>Office Supplies Expense</t>
  </si>
  <si>
    <t>SUB-TOTAL-Traveling Allowance</t>
  </si>
  <si>
    <t>Calipes, Letecia</t>
  </si>
  <si>
    <t>Medical, Dental and Laboratory Supplies Expense</t>
  </si>
  <si>
    <t>BALANCE SHEET</t>
  </si>
  <si>
    <t>A S S E T S</t>
  </si>
  <si>
    <t>Current Assets</t>
  </si>
  <si>
    <t xml:space="preserve">Cash </t>
  </si>
  <si>
    <t>Receivables</t>
  </si>
  <si>
    <t>Inventories</t>
  </si>
  <si>
    <t>Total Current Assets</t>
  </si>
  <si>
    <t>Property, Plant and Equipment</t>
  </si>
  <si>
    <t>Total Property, Plant and Equipment</t>
  </si>
  <si>
    <t>Liabilities</t>
  </si>
  <si>
    <t>Current Liabilities</t>
  </si>
  <si>
    <t>Total Current Liabilities</t>
  </si>
  <si>
    <t>Deferred Credits</t>
  </si>
  <si>
    <t>Total Liabilities</t>
  </si>
  <si>
    <t>Equity</t>
  </si>
  <si>
    <t>TOTAL LIABILITIES AND EQUITY</t>
  </si>
  <si>
    <t>SPECIAL EDUCATION  FUND</t>
  </si>
  <si>
    <t>Statement of Income and Expenses</t>
  </si>
  <si>
    <t>Other Local Taxes</t>
  </si>
  <si>
    <t>Permits and Licenses</t>
  </si>
  <si>
    <t>Service Income</t>
  </si>
  <si>
    <t>Business Income</t>
  </si>
  <si>
    <t>Other Income</t>
  </si>
  <si>
    <t>Personal Services</t>
  </si>
  <si>
    <t>Maintenance and Other Operating Expenses</t>
  </si>
  <si>
    <t>Total Operating Expenses</t>
  </si>
  <si>
    <t>Commitment Fees</t>
  </si>
  <si>
    <t>Total</t>
  </si>
  <si>
    <t>Other Property, Plant and Equipment</t>
  </si>
  <si>
    <t>Accumulated Depreciation - Technical and Scientific Equipment</t>
  </si>
  <si>
    <t>Prior Year's Adjustment</t>
  </si>
  <si>
    <t>October</t>
  </si>
  <si>
    <t xml:space="preserve">November </t>
  </si>
  <si>
    <t>December</t>
  </si>
  <si>
    <t>Textbooks and Instructional Materials Expenses</t>
  </si>
  <si>
    <t>Representation Expenses</t>
  </si>
  <si>
    <t>Subsidy to National Government Agencies</t>
  </si>
  <si>
    <t>July</t>
  </si>
  <si>
    <t>August</t>
  </si>
  <si>
    <t>September</t>
  </si>
  <si>
    <t>January</t>
  </si>
  <si>
    <t>February</t>
  </si>
  <si>
    <t>March</t>
  </si>
  <si>
    <t>April</t>
  </si>
  <si>
    <t>May</t>
  </si>
  <si>
    <t>June</t>
  </si>
  <si>
    <t>Retained Operating Surplus</t>
  </si>
  <si>
    <t>Check Disbursement Journal</t>
  </si>
  <si>
    <t>20-05-02-029</t>
  </si>
  <si>
    <t>Cash Advance</t>
  </si>
  <si>
    <t>Other Supplies Expense</t>
  </si>
  <si>
    <t>Drugs and Medicines Expenses</t>
  </si>
  <si>
    <t>Telephone Expenses - Mobile</t>
  </si>
  <si>
    <t>Repairs and Maintenance - School Buildings</t>
  </si>
  <si>
    <t>Repairs and Maintenance - Other Structures</t>
  </si>
  <si>
    <t>Due from NGAs</t>
  </si>
  <si>
    <t>Depreciation - Sports Equipment</t>
  </si>
  <si>
    <t xml:space="preserve"> Accumulated Depreciation - Sports Equipment</t>
  </si>
  <si>
    <t>Depreciation Expense - Sports Equipment</t>
  </si>
  <si>
    <t>Trust Fund</t>
  </si>
  <si>
    <t>Miscellaneous Income</t>
  </si>
  <si>
    <t>Posadas, Joan</t>
  </si>
  <si>
    <t>20-05-08-195</t>
  </si>
  <si>
    <t>Nathaniel Tailoring &amp; Dress Shop</t>
  </si>
  <si>
    <t>Amoncio, Teresita</t>
  </si>
  <si>
    <t>Baliao, Eva</t>
  </si>
  <si>
    <t>5% VAT</t>
  </si>
  <si>
    <t>Printing and Binding Expenses</t>
  </si>
  <si>
    <t>Other Deferred Credits</t>
  </si>
  <si>
    <t>Cash Disbursement Journal</t>
  </si>
  <si>
    <t>2% tax</t>
  </si>
  <si>
    <t>Salera, Lilia</t>
  </si>
  <si>
    <t>Vinculado, Solomon</t>
  </si>
  <si>
    <t>Regalado, Edgardo</t>
  </si>
  <si>
    <t>Due from NGO's/PO's</t>
  </si>
  <si>
    <t>2012 Tax Credit</t>
  </si>
  <si>
    <t>Accumulated Depreciation - Other Property, Plant &amp; Equipment</t>
  </si>
  <si>
    <t>Depreciation - Other Property, Plant &amp; Equipment</t>
  </si>
  <si>
    <t>Accumulated Depreciation - Other Property, Plant and Equipment</t>
  </si>
  <si>
    <t>Depreciation - Other Property, Plant and Equipment</t>
  </si>
  <si>
    <t>November</t>
  </si>
  <si>
    <t>Accumulated Depreciation-Office Equipment</t>
  </si>
  <si>
    <t>2 unitts Computer with accessories</t>
  </si>
  <si>
    <t>Computer Intel Pentium IV w/ canon S200 Bubble Jet Printer</t>
  </si>
  <si>
    <t>HighSchool Educational CD-ROM</t>
  </si>
  <si>
    <t>Accumulated Dep'n-Communication Equipment</t>
  </si>
  <si>
    <t>Takedown Bow, set bear cat</t>
  </si>
  <si>
    <t>Boxing ring &amp; accessories</t>
  </si>
  <si>
    <t>Padded balance</t>
  </si>
  <si>
    <t>Vaulting board spring</t>
  </si>
  <si>
    <t>Folding mat size</t>
  </si>
  <si>
    <t>Various musical instrument</t>
  </si>
  <si>
    <t>Bajo de Arco</t>
  </si>
  <si>
    <t>Guitars w/ casing</t>
  </si>
  <si>
    <t>Badoria w/ casing</t>
  </si>
  <si>
    <t>Octavinas special</t>
  </si>
  <si>
    <t>Octavinas Banjo Special</t>
  </si>
  <si>
    <t>Bandoria w/casing Bandilla</t>
  </si>
  <si>
    <t>Guitar w/ casing Lunawoy</t>
  </si>
  <si>
    <t>Bajo de Arco Bandilla</t>
  </si>
  <si>
    <t>Depreciation - Office Equipment</t>
  </si>
  <si>
    <t>Depreciation Expense - Communication Equipment</t>
  </si>
  <si>
    <t>Depreciation - Communication Equipment</t>
  </si>
  <si>
    <t>Depreciation - IT Equipment &amp; Software</t>
  </si>
  <si>
    <t xml:space="preserve">Cash Outflows:  </t>
  </si>
  <si>
    <t xml:space="preserve">Total Cash Outflows                                                                                             </t>
  </si>
  <si>
    <t>Cash Flows From Investing Activities</t>
  </si>
  <si>
    <t>Cash Flows From Financing Activities</t>
  </si>
  <si>
    <t xml:space="preserve">September </t>
  </si>
  <si>
    <t xml:space="preserve">December </t>
  </si>
  <si>
    <t xml:space="preserve">October </t>
  </si>
  <si>
    <t>Advances to Officers and Employees</t>
  </si>
  <si>
    <t>Batilo, Cleotilde</t>
  </si>
  <si>
    <t>Lagcao, Ricardo</t>
  </si>
  <si>
    <t>Torres, Rosabeth</t>
  </si>
  <si>
    <t>Payroll Fund</t>
  </si>
  <si>
    <t>CASH DISBURSING OFFICERS</t>
  </si>
  <si>
    <t>Rubin, Mary Jane</t>
  </si>
  <si>
    <t>Cash Disbursing Officers</t>
  </si>
  <si>
    <t>1% tax</t>
  </si>
  <si>
    <t>3% tax</t>
  </si>
  <si>
    <t>Laiden Joy Garments</t>
  </si>
  <si>
    <t>High School Educational CD-ROM</t>
  </si>
  <si>
    <t>Takedown bow, se bear cat, magnesium</t>
  </si>
  <si>
    <t>Boxing ring &amp; access elevated etc.</t>
  </si>
  <si>
    <t>Padded balance beam high strength etc</t>
  </si>
  <si>
    <t>Folded mat size 4x8x12 @ 31 pcs</t>
  </si>
  <si>
    <t>Vaulting board spring tension, etc</t>
  </si>
  <si>
    <t>Docallos, Mercy</t>
  </si>
  <si>
    <t>20-07-02-035</t>
  </si>
  <si>
    <t>Construction in Progress - Agency Assets</t>
  </si>
  <si>
    <t>Advances to Contractors</t>
  </si>
  <si>
    <t xml:space="preserve">Prepayments </t>
  </si>
  <si>
    <t>General Santos City</t>
  </si>
  <si>
    <t>GSC-TEMPC, TIN# 110-001-694-132 NV (Exempt)</t>
  </si>
  <si>
    <t>Ferolino - Panugao Const inc, TIN# 006-292-583 V</t>
  </si>
  <si>
    <t>Ferolino - Panugao Const., Inc, TIN# 006-292-583 V</t>
  </si>
  <si>
    <t>Land</t>
  </si>
  <si>
    <t>Overcollection</t>
  </si>
  <si>
    <t>Electrification , Power, and Energy Structures</t>
  </si>
  <si>
    <t>San Jose Elem School 2 classroom sch bldg</t>
  </si>
  <si>
    <t>2 classroom school bldg, Fatima High Sch, Brgy Fatima, GSC</t>
  </si>
  <si>
    <t>Express Multimedia Syn.</t>
  </si>
  <si>
    <t>Express multimedia PC</t>
  </si>
  <si>
    <t>Julics Barrieses</t>
  </si>
  <si>
    <t>Copylandia Office System, Inc, TIN# 002-332-000-016 V</t>
  </si>
  <si>
    <t>Depreciation - School Buildings</t>
  </si>
  <si>
    <t>Accumulated Depreciation-School Buildings</t>
  </si>
  <si>
    <t>Banisil Elem School</t>
  </si>
  <si>
    <t>Photocopier macine model Develop Ineo 161</t>
  </si>
  <si>
    <t>Depreciation Expense- School buildings</t>
  </si>
  <si>
    <t>San Jose E/S</t>
  </si>
  <si>
    <t>Fatima H/S</t>
  </si>
  <si>
    <t>Banisil E/S</t>
  </si>
  <si>
    <t>Due from NGO's / PO's</t>
  </si>
  <si>
    <t>Lagao Nat'l High school Annex,Brgy San Isidro, GSC</t>
  </si>
  <si>
    <t>Dogdogan , Jenny Vic</t>
  </si>
  <si>
    <t>GSC SPED Integrated School, Brgy. San Isidro, GSC</t>
  </si>
  <si>
    <t>JAWS for Windows</t>
  </si>
  <si>
    <t>BENQ MO 611 Multimedia Projector w/ tripod</t>
  </si>
  <si>
    <t>ACER Travelmate 3262 WACI Core Duo</t>
  </si>
  <si>
    <t>Buday, Ashiken, et al</t>
  </si>
  <si>
    <t>Tinoco, Danilo, Jr</t>
  </si>
  <si>
    <t>Rosaot, Teresita, et al</t>
  </si>
  <si>
    <t>Ambraham, Leaphe, et al</t>
  </si>
  <si>
    <t>Espregante, Zenia Macain</t>
  </si>
  <si>
    <t>Java, Joy Mae Grace Corpuz</t>
  </si>
  <si>
    <t>Jomento, Arlene Joyce Enero</t>
  </si>
  <si>
    <t>Legaspi, Jean Tabaca</t>
  </si>
  <si>
    <t>Mahilon, Maria Teresa Gavino</t>
  </si>
  <si>
    <t>Maratas, Tessie Ysay</t>
  </si>
  <si>
    <t>Matula, Nasrudin</t>
  </si>
  <si>
    <t>Pausal, Rosemarie Dumaguit</t>
  </si>
  <si>
    <t>Plomeda Levian</t>
  </si>
  <si>
    <t>Salaum, Ma Theresa Verona</t>
  </si>
  <si>
    <t>Lagao National H/S Annex</t>
  </si>
  <si>
    <t>GSC SPED Integrated School, Brgy San Isidro</t>
  </si>
  <si>
    <t>Share from Internal Revenue Collection</t>
  </si>
  <si>
    <t>Receipts from Sale of Goods and services</t>
  </si>
  <si>
    <t>Interests Income</t>
  </si>
  <si>
    <t>Dividend Income</t>
  </si>
  <si>
    <t>Other Receipts</t>
  </si>
  <si>
    <t>Retirement/Redemption of Debt Securities</t>
  </si>
  <si>
    <t>5 units sewing machine</t>
  </si>
  <si>
    <t xml:space="preserve">     Prior year's adjustment, debit balance</t>
  </si>
  <si>
    <t>2014 Tax Credit</t>
  </si>
  <si>
    <t>NAME OF NGO/PO</t>
  </si>
  <si>
    <t>DATE</t>
  </si>
  <si>
    <t>UNLIQUIDATED</t>
  </si>
  <si>
    <t>AGING</t>
  </si>
  <si>
    <t>GRANTED</t>
  </si>
  <si>
    <t>NO.</t>
  </si>
  <si>
    <t>AMOUNT</t>
  </si>
  <si>
    <t>3 MOS.</t>
  </si>
  <si>
    <t>&gt; 3 MOS</t>
  </si>
  <si>
    <t>&gt; 1 YR</t>
  </si>
  <si>
    <t>&gt; 2 YRS</t>
  </si>
  <si>
    <t>NAME OF NATIONAL GOVERNMENT AGENCY</t>
  </si>
  <si>
    <t>NAME OF LOCAL GOVERNMENT UNIT</t>
  </si>
  <si>
    <t>Schedule Due from NGO/POs - Fund 200</t>
  </si>
  <si>
    <t>Schedule Due from NGAs - Fund 200</t>
  </si>
  <si>
    <t>So.Cot. Filipino-Chinese Chamber of Commerce, Inc.</t>
  </si>
  <si>
    <t>Schedule Due from LGUs - Fund 200</t>
  </si>
  <si>
    <t>Gio Dental Depot Co., Inc.</t>
  </si>
  <si>
    <t>Verguz Construction</t>
  </si>
  <si>
    <t>Habitat Community Primary School</t>
  </si>
  <si>
    <t>Habitat Community Primary School, Brgy Mabuhay, GSC</t>
  </si>
  <si>
    <t>2-classroom building</t>
  </si>
  <si>
    <t>Labangal Nat'l HS, Brgy Labangal. GSC</t>
  </si>
  <si>
    <t>Labangal Nat'l HS, Brgy. Labangal, GSC</t>
  </si>
  <si>
    <t xml:space="preserve">South Cotabato Chinese Chamber of Commerce, Inc. </t>
  </si>
  <si>
    <t>DBP # 276-925-3/0925-006952-081</t>
  </si>
  <si>
    <t>Two-classroom School building from SCFCCCI</t>
  </si>
  <si>
    <t>Daan Banwang, Brgy. Uper Labay</t>
  </si>
  <si>
    <t>Lagao Natl HS, Brgy San Isidro (Annex)</t>
  </si>
  <si>
    <t>Baluan HS, Brgy Baluan</t>
  </si>
  <si>
    <t>Batomelong E/S, Brgy Batomelong</t>
  </si>
  <si>
    <t>Lagao NHS, Brgy San Isidro</t>
  </si>
  <si>
    <t>SPED HS, Brgy San Isidro</t>
  </si>
  <si>
    <t>Banisil HS, Brgy Tambler</t>
  </si>
  <si>
    <t>Income from Grants and Donations</t>
  </si>
  <si>
    <t>Daan Banwang, Brgy. Upper Labay, GSC</t>
  </si>
  <si>
    <t>Lagao NHS, Brgy San Isidro, GSC (Annex)</t>
  </si>
  <si>
    <t>Baluan HS, Brgy Baluan, GSC</t>
  </si>
  <si>
    <t>Batomelong E/S, Brgy Batomelong, GSC</t>
  </si>
  <si>
    <t>Lagao NHS, Brgy San Isidro, GS</t>
  </si>
  <si>
    <t>SPED HS, Brgy San Isidro, GSC</t>
  </si>
  <si>
    <t>banisil HS, Brgy Tambler, GSC</t>
  </si>
  <si>
    <t>Two-classroom School Bldg from SCFCCC (2008)</t>
  </si>
  <si>
    <t>Two-classroom school bldg from SCFCCC</t>
  </si>
  <si>
    <t xml:space="preserve">     Prior year's adjustment, credit balance</t>
  </si>
  <si>
    <t>Two-classroom School building -Upper Labay HS</t>
  </si>
  <si>
    <t>2013 Tax credit</t>
  </si>
  <si>
    <t>Two-classroom building, AG Busano Natl High Scool</t>
  </si>
  <si>
    <t>AG Busano Natl High Scool</t>
  </si>
  <si>
    <t>AG Busano National High School</t>
  </si>
  <si>
    <t>Baluan H/S (Buayan Nsth HS Annex)</t>
  </si>
  <si>
    <t>Baluan H/S ( Buayan H/S Annex)</t>
  </si>
  <si>
    <t>DepEd - RO XII</t>
  </si>
  <si>
    <t>20-09-04-103</t>
  </si>
  <si>
    <t>Ma-an, Elpedio, Jr.</t>
  </si>
  <si>
    <t>One Classroom Building @ RC Acharon E/S, Brgy Calumpang</t>
  </si>
  <si>
    <t>One classroom building @ RC Acharon E/S</t>
  </si>
  <si>
    <t>20-09-07-157</t>
  </si>
  <si>
    <t>Bordas, Chloe D.</t>
  </si>
  <si>
    <t>Upper Labay H/S, Brgy Upper Labay</t>
  </si>
  <si>
    <t>Buscano E/S, Brgy Olympog</t>
  </si>
  <si>
    <t>Jose Catolico E/S, Brgy Lagao</t>
  </si>
  <si>
    <t>HN Cahilsot H/S, Brgy Calumpang</t>
  </si>
  <si>
    <t>Banisil E/S, Brgy Tambler</t>
  </si>
  <si>
    <t>Ireneo Santiago, H/S, Brgy Dad South</t>
  </si>
  <si>
    <t>Fito, Lolita</t>
  </si>
  <si>
    <t>Abiero, Leizel et al</t>
  </si>
  <si>
    <t>Atamosa, Evelyn et al</t>
  </si>
  <si>
    <t>Germa, Rizaldo, et al</t>
  </si>
  <si>
    <t>Lagala, ildefonso</t>
  </si>
  <si>
    <t>LBP 0171-3122-72</t>
  </si>
  <si>
    <t>Interest Income on Cash in Bank</t>
  </si>
  <si>
    <t>SL No.</t>
  </si>
  <si>
    <t>Bank</t>
  </si>
  <si>
    <t>Account No.</t>
  </si>
  <si>
    <t>Interest</t>
  </si>
  <si>
    <t>jan</t>
  </si>
  <si>
    <t>feb</t>
  </si>
  <si>
    <t>mar</t>
  </si>
  <si>
    <t>april</t>
  </si>
  <si>
    <t>may</t>
  </si>
  <si>
    <t>jun</t>
  </si>
  <si>
    <t>jul</t>
  </si>
  <si>
    <t>aug</t>
  </si>
  <si>
    <t>sept</t>
  </si>
  <si>
    <t>oct</t>
  </si>
  <si>
    <t>nov</t>
  </si>
  <si>
    <t>dec</t>
  </si>
  <si>
    <t>Local Currency, Current Account:</t>
  </si>
  <si>
    <t>111-01</t>
  </si>
  <si>
    <t xml:space="preserve">DBP </t>
  </si>
  <si>
    <t>Local Currency, Time Deposit:</t>
  </si>
  <si>
    <t>113-01-01</t>
  </si>
  <si>
    <t>LBP</t>
  </si>
  <si>
    <t>113-01-02</t>
  </si>
  <si>
    <t>113-02-01</t>
  </si>
  <si>
    <t>113-02-02</t>
  </si>
  <si>
    <t>113-02-03</t>
  </si>
  <si>
    <t>113-02-04</t>
  </si>
  <si>
    <t>113-02-05</t>
  </si>
  <si>
    <t>One Network Rural Bank, Inc., TIN# 006-175-099 NV</t>
  </si>
  <si>
    <t>Ladenjoy Garments Depot &amp; Multipurpose Cooperative, TIN# 006-295-762 NV</t>
  </si>
  <si>
    <t xml:space="preserve">Baliao, Eva </t>
  </si>
  <si>
    <t xml:space="preserve">Cash Advance </t>
  </si>
  <si>
    <t>Land Bank of the Philippines</t>
  </si>
  <si>
    <t>Development Bank of the Philippines</t>
  </si>
  <si>
    <t>Java, Gemma</t>
  </si>
  <si>
    <t>Taxes, Duties and Licenses</t>
  </si>
  <si>
    <t>Due from GOCCs</t>
  </si>
  <si>
    <t>Due from GOCC's</t>
  </si>
  <si>
    <t>Cariño, Lydia Dianna A.</t>
  </si>
  <si>
    <t>Cash - Disbursing Officers</t>
  </si>
  <si>
    <t>Petty Cash Fund</t>
  </si>
  <si>
    <t>Cash in Bank-Local Currency, Savings Account</t>
  </si>
  <si>
    <t>Cash in Bank-Foreign Currency, Current Account</t>
  </si>
  <si>
    <t>Cash in Bank-Foreign Currency, Savings Account</t>
  </si>
  <si>
    <t>Cash in Bank-Foreign Currency, Time Deposit</t>
  </si>
  <si>
    <t>Accounts Receivable</t>
  </si>
  <si>
    <t>Notes Receivable</t>
  </si>
  <si>
    <t>Loans Receivable - GOCCs</t>
  </si>
  <si>
    <t>Loans Receivable - LGUs</t>
  </si>
  <si>
    <t>Loans Receivable - Others</t>
  </si>
  <si>
    <t>Real Property Tax Receivable</t>
  </si>
  <si>
    <t>Interest Receivable</t>
  </si>
  <si>
    <t>Merchandise Inventory</t>
  </si>
  <si>
    <t xml:space="preserve">Finished Goods Inventory </t>
  </si>
  <si>
    <t xml:space="preserve">Work-in-Process Inventory </t>
  </si>
  <si>
    <t>Raw Materials Inventory</t>
  </si>
  <si>
    <t xml:space="preserve">Accountable Forms Inventory  </t>
  </si>
  <si>
    <t>Animal/Zoological Supplies Inventory</t>
  </si>
  <si>
    <t>Food Supplies Inventory</t>
  </si>
  <si>
    <t xml:space="preserve">Gasoline, Oil and Lubricants Inventory </t>
  </si>
  <si>
    <t>Agricultural Supplies Inventory</t>
  </si>
  <si>
    <t xml:space="preserve">Military and Police Supplies Inventory </t>
  </si>
  <si>
    <t>Confiscated/Abandoned/Seized Goods Inventory</t>
  </si>
  <si>
    <t xml:space="preserve">Spare Parts Inventory </t>
  </si>
  <si>
    <t>Construction Materials Inventory</t>
  </si>
  <si>
    <t xml:space="preserve">Livestock Inventory </t>
  </si>
  <si>
    <t>Crops and Fruits Inventory</t>
  </si>
  <si>
    <t>Other Agricultural, Fishery and Forestry Products Inventory</t>
  </si>
  <si>
    <t>Prepaid Rent</t>
  </si>
  <si>
    <t xml:space="preserve">Prepaid Insurance </t>
  </si>
  <si>
    <t xml:space="preserve">Prepaid Interest </t>
  </si>
  <si>
    <t>Deposits on Letters of Credit</t>
  </si>
  <si>
    <t>Deferred Charges</t>
  </si>
  <si>
    <t>Other Prepaid Expenses</t>
  </si>
  <si>
    <t>Guaranty Deposits</t>
  </si>
  <si>
    <t>Other Current Assets</t>
  </si>
  <si>
    <t>Investments in Treasury Bills</t>
  </si>
  <si>
    <t>Investments in Stocks</t>
  </si>
  <si>
    <t>Investments in Bonds</t>
  </si>
  <si>
    <t>Other Investments and Marketable Securities</t>
  </si>
  <si>
    <t xml:space="preserve">Sinking Fund </t>
  </si>
  <si>
    <t xml:space="preserve">  Accumulated Depreciation - Land Improvements</t>
  </si>
  <si>
    <t xml:space="preserve">  Accumulated Depreciation - Electrification, Power and Energy Structures</t>
  </si>
  <si>
    <t xml:space="preserve">  Accumulated Depreciation - Office Buildings</t>
  </si>
  <si>
    <t xml:space="preserve">  Accumulated Depreciation - School Buildings</t>
  </si>
  <si>
    <t>Hospitals and Health Centers</t>
  </si>
  <si>
    <t xml:space="preserve">  Accumulated Depreciation - Hospitals and Health Centers</t>
  </si>
  <si>
    <t>Markets and Slaughterhouses</t>
  </si>
  <si>
    <t xml:space="preserve">  Accumulated Depreciation - Markets and Slaughterhouses </t>
  </si>
  <si>
    <t xml:space="preserve">  Accumulated Depreciation - Other Structures</t>
  </si>
  <si>
    <t xml:space="preserve">Leasehold Improvements, Land </t>
  </si>
  <si>
    <t xml:space="preserve">  Accumulated Depreciation- Leasehold Improvements, Land </t>
  </si>
  <si>
    <t>Leasehold Improvements, Buildings</t>
  </si>
  <si>
    <t xml:space="preserve">  Accumulated Depreciation - Leasehold Improvements, Buildings</t>
  </si>
  <si>
    <t>Other Leasehold Improvements</t>
  </si>
  <si>
    <t xml:space="preserve">  Accumulated Depreciation - Other Leasehold Improvements</t>
  </si>
  <si>
    <t xml:space="preserve">  Accumulated Depreciation - Office Equipment</t>
  </si>
  <si>
    <t xml:space="preserve">  Accumulated Depreciation - Furniture and Fixtures</t>
  </si>
  <si>
    <t xml:space="preserve">  Accumulated Depreciation - IT Equipment and Software</t>
  </si>
  <si>
    <t xml:space="preserve">  Accumulated Depreciation - Library Books</t>
  </si>
  <si>
    <t>Machinery</t>
  </si>
  <si>
    <t xml:space="preserve">  Accumulated Depreciation - Machinery</t>
  </si>
  <si>
    <t xml:space="preserve">  Accumulated Depreciation - Agricultural, Fishery and Forestry Equipment </t>
  </si>
  <si>
    <t xml:space="preserve">  Accumulated Depreciation - Communication Equipment</t>
  </si>
  <si>
    <t xml:space="preserve">  Accumulated Depreciation - Construction and Heavy </t>
  </si>
  <si>
    <t xml:space="preserve">  Accumulated Depreciation - Firefighting Equipment and Accessories</t>
  </si>
  <si>
    <t>Hospital Equipment</t>
  </si>
  <si>
    <t xml:space="preserve">  Accumulated Depreciation - Hospital Equipment </t>
  </si>
  <si>
    <t>Medical, Dental, &amp; Laboratory Equipment</t>
  </si>
  <si>
    <t xml:space="preserve">  Accumulated Depreciation - Medical, Dental and Laboratory Equipment </t>
  </si>
  <si>
    <t xml:space="preserve">Military and Police Equipment </t>
  </si>
  <si>
    <t xml:space="preserve">  Accumulated Depreciation - Military and Police Equipment </t>
  </si>
  <si>
    <t xml:space="preserve">  Accumulated Depreciation - Sports Equipment</t>
  </si>
  <si>
    <t xml:space="preserve">  Accumulated Depreciation - Technical &amp; Scientific Equipment</t>
  </si>
  <si>
    <t>Other Machineries and Equipment</t>
  </si>
  <si>
    <t xml:space="preserve">  Accumulated Depreciation - Other Machinery and Equipment</t>
  </si>
  <si>
    <t xml:space="preserve">  Accumulated Depreciation - Motor Vehicles</t>
  </si>
  <si>
    <t>Watercrafts</t>
  </si>
  <si>
    <t xml:space="preserve">  Accumulated Depreciation - Watercrafts</t>
  </si>
  <si>
    <t xml:space="preserve">Other Transportation Equipment </t>
  </si>
  <si>
    <t xml:space="preserve">  Accumulated Depreciation - Other Transportation Equipment </t>
  </si>
  <si>
    <t>Roads, Highways and Bridges</t>
  </si>
  <si>
    <t xml:space="preserve">Parks, Plazas and Monuments </t>
  </si>
  <si>
    <t xml:space="preserve">Ports, Lighthouses and Harbors </t>
  </si>
  <si>
    <t>Irrigation, Canals and Laterals</t>
  </si>
  <si>
    <t>Flood Controls</t>
  </si>
  <si>
    <t>Waterways, Aqueducts, Seawalls, River Walls and Others</t>
  </si>
  <si>
    <t>Other Public Infrastructures</t>
  </si>
  <si>
    <t xml:space="preserve">Reforestation - Upland </t>
  </si>
  <si>
    <t xml:space="preserve">Reforestation - Marshland/Swampland </t>
  </si>
  <si>
    <t>Construction in Progress - Roads, Highways and Bridges</t>
  </si>
  <si>
    <t>Construction in Progress-Parks, Plazas and Monuments</t>
  </si>
  <si>
    <t>Construction in Progress - Ports, Lighthouses and Harbors</t>
  </si>
  <si>
    <t>Construction in Progress - Artesian Wells, Reservoirs, Pumping Stations and Conduits</t>
  </si>
  <si>
    <t>Construction in Progress - Irrigation, Canals and Laterals</t>
  </si>
  <si>
    <t>Construction in Progress - Flood Controls</t>
  </si>
  <si>
    <t>Construction in Progress - Waterways, Aqueducts, Seawalls, River Walls and Others</t>
  </si>
  <si>
    <t>Construction in Progress - Other Public Infrastructures</t>
  </si>
  <si>
    <t xml:space="preserve">Construction in Progress - Reforestation - Upland </t>
  </si>
  <si>
    <t xml:space="preserve">Construction in Progress - Reforestation - Marshland/Swampland </t>
  </si>
  <si>
    <t>Work/Other Animals</t>
  </si>
  <si>
    <t>Breeding Stocks</t>
  </si>
  <si>
    <t>Arts, Archeological Specimens and Other Exhibits</t>
  </si>
  <si>
    <t>Items in Transit</t>
  </si>
  <si>
    <t>Other Assets</t>
  </si>
  <si>
    <t>Notes Payable</t>
  </si>
  <si>
    <t>Interest Payable</t>
  </si>
  <si>
    <t>Due to LGUs</t>
  </si>
  <si>
    <t>Performace/Bidders/Bail Bonds Payable</t>
  </si>
  <si>
    <t>Tax Refunds Payable</t>
  </si>
  <si>
    <t>Mortgage Payable</t>
  </si>
  <si>
    <t xml:space="preserve">Bonds Payable - Domestic </t>
  </si>
  <si>
    <t>Bonds Payable - Foreign</t>
  </si>
  <si>
    <t xml:space="preserve">Loans Payable - Domestic </t>
  </si>
  <si>
    <t>Loans Payable - Foreign</t>
  </si>
  <si>
    <t>Other Long-Term Liabilities</t>
  </si>
  <si>
    <t xml:space="preserve">Deferred Real Property Tax Income </t>
  </si>
  <si>
    <t>Cost of Goods Sold</t>
  </si>
  <si>
    <t>Amusement Tax</t>
  </si>
  <si>
    <t>Business Tax</t>
  </si>
  <si>
    <t>Community Tax</t>
  </si>
  <si>
    <t>Franchise Tax</t>
  </si>
  <si>
    <t>Occupation Tax</t>
  </si>
  <si>
    <t>Printing and Publication Tax</t>
  </si>
  <si>
    <t xml:space="preserve">Property Transfer Tax </t>
  </si>
  <si>
    <t>Real Property Tax</t>
  </si>
  <si>
    <t>Real Property Tax on Idle Lands</t>
  </si>
  <si>
    <t>Special Assessment Tax</t>
  </si>
  <si>
    <t>Tax on Delivery Trucks and Vans</t>
  </si>
  <si>
    <t>Tax on Sand, Gravel and Other Quarry Products</t>
  </si>
  <si>
    <t>Fees on Weights and Measures</t>
  </si>
  <si>
    <t>Fishery Rental Fees</t>
  </si>
  <si>
    <t>Franchising and Licensing Fees</t>
  </si>
  <si>
    <t>Permit Fees</t>
  </si>
  <si>
    <t>Registration Fees</t>
  </si>
  <si>
    <t>Other Permits and Licenses</t>
  </si>
  <si>
    <t>Fines and Penalties - Permits and Licenses</t>
  </si>
  <si>
    <t>Affiliation Fees</t>
  </si>
  <si>
    <t>Athletic and Cultural Fees</t>
  </si>
  <si>
    <t>Clearance and Certification Fees</t>
  </si>
  <si>
    <t>Comprehensive Examination Fees</t>
  </si>
  <si>
    <t>Diploma and Graduation Fees</t>
  </si>
  <si>
    <t>Garbage Fees</t>
  </si>
  <si>
    <t>Inspection Fees</t>
  </si>
  <si>
    <t>Library Fees</t>
  </si>
  <si>
    <t>Medical, Dental and Laboratory Fees</t>
  </si>
  <si>
    <t>Processing Fees</t>
  </si>
  <si>
    <t>Seminar Fees</t>
  </si>
  <si>
    <t>Toll and Terminal Fees</t>
  </si>
  <si>
    <t>Transcript of Record Fees</t>
  </si>
  <si>
    <t xml:space="preserve">Other Service Income </t>
  </si>
  <si>
    <t xml:space="preserve">Fines and Penalties - Service Income </t>
  </si>
  <si>
    <t>Hospital Fees</t>
  </si>
  <si>
    <t>Income from Canteen Operations</t>
  </si>
  <si>
    <t>Income from Cemetery Operations</t>
  </si>
  <si>
    <t>Income from Communication Facilities</t>
  </si>
  <si>
    <t>Income from Dormitory Operations</t>
  </si>
  <si>
    <t>Income from Markets</t>
  </si>
  <si>
    <t>Income from Slaughterhouses</t>
  </si>
  <si>
    <t>Income from Transportation System</t>
  </si>
  <si>
    <t>Income from Waterworks System</t>
  </si>
  <si>
    <t>Landing and Parking Fees</t>
  </si>
  <si>
    <t>Printing and Publication Income</t>
  </si>
  <si>
    <t xml:space="preserve">Rent Income </t>
  </si>
  <si>
    <t>Sales Revenue</t>
  </si>
  <si>
    <t>Tuition Fees</t>
  </si>
  <si>
    <t xml:space="preserve">Other Business Income </t>
  </si>
  <si>
    <t xml:space="preserve">Fines and Penalties - Business Income </t>
  </si>
  <si>
    <t>Subsidy from Other National Government Agencies</t>
  </si>
  <si>
    <t>Subsidy from Other LGUs</t>
  </si>
  <si>
    <t>Subsidy from Other Funds</t>
  </si>
  <si>
    <t xml:space="preserve">Dividend Income </t>
  </si>
  <si>
    <t xml:space="preserve">Insurance Income </t>
  </si>
  <si>
    <t>Internal Revenue Allotment</t>
  </si>
  <si>
    <t>Sale of Confiscated/Abandoned/Seized Goods and Properties</t>
  </si>
  <si>
    <t>Share from Economic Zones</t>
  </si>
  <si>
    <t xml:space="preserve">Share from Expanded Value Added Tax </t>
  </si>
  <si>
    <t>Share from National Wealth</t>
  </si>
  <si>
    <t>Share from PAGCOR/PCSO</t>
  </si>
  <si>
    <t>Share from Tobacco Excise Tax</t>
  </si>
  <si>
    <t>Other Fines and Penalties</t>
  </si>
  <si>
    <t>Gain/Loss on Sale of Disposed Assets</t>
  </si>
  <si>
    <t>Gain/Loss on Sale of Securities</t>
  </si>
  <si>
    <t>Salaries and Wages - Military/Uniformed</t>
  </si>
  <si>
    <t>Salaries and Wages - Part-time</t>
  </si>
  <si>
    <t>Salaries and Wages - Substitute</t>
  </si>
  <si>
    <t>Salaries and Wages - Contractual</t>
  </si>
  <si>
    <t>Salaries and Wages - Emergency</t>
  </si>
  <si>
    <t>Representation Allowance (RA)</t>
  </si>
  <si>
    <t>Subsistence, Laundry and Quarters Allowances</t>
  </si>
  <si>
    <t>Longevity Pay</t>
  </si>
  <si>
    <t>Pension Benefits - Civilian</t>
  </si>
  <si>
    <t>Retirement Benefits – Civilian</t>
  </si>
  <si>
    <t>Health Workers Benefits</t>
  </si>
  <si>
    <t>Scholarship Expenses</t>
  </si>
  <si>
    <t>Accountable Forms Expenses</t>
  </si>
  <si>
    <t>Animal/Zoological Supplies Expenses</t>
  </si>
  <si>
    <t>Agricultural Supplies Expenses</t>
  </si>
  <si>
    <t>Military and Police Supplies Expenses</t>
  </si>
  <si>
    <t>Cooking Gas Expenses</t>
  </si>
  <si>
    <t>Postage and Deliveries</t>
  </si>
  <si>
    <t>Internet Expenses</t>
  </si>
  <si>
    <t>Cable, Satellite, Telegraph and Radio Expenses</t>
  </si>
  <si>
    <t>Membership Dues and Contribution to Organizations</t>
  </si>
  <si>
    <t>Awards and Indemnities</t>
  </si>
  <si>
    <t>Advertising Expenses</t>
  </si>
  <si>
    <t>Transportation and Delivery Expenses</t>
  </si>
  <si>
    <t>Storage Expenses</t>
  </si>
  <si>
    <t>Subscription Expenses</t>
  </si>
  <si>
    <t>Survey Expenses</t>
  </si>
  <si>
    <t>Rewards and Other Claims</t>
  </si>
  <si>
    <t>Legal Services</t>
  </si>
  <si>
    <t>Auditing Services</t>
  </si>
  <si>
    <t>Consultancy Services</t>
  </si>
  <si>
    <t>Environment/Sanitary Services</t>
  </si>
  <si>
    <t>General Services</t>
  </si>
  <si>
    <t>Janitorial Services</t>
  </si>
  <si>
    <t>Security Services</t>
  </si>
  <si>
    <t>Repairs and Maintenance - Land Improvements</t>
  </si>
  <si>
    <t>Repairs and Maintenance - Electrification, Power and Energy Structures</t>
  </si>
  <si>
    <t>Repairs and Maintenance - Office Buildings</t>
  </si>
  <si>
    <t>Repairs and Maintenance - Hospitals and Health Centers</t>
  </si>
  <si>
    <t>Repairs and Maintenance - Markets and Slaughterhouses</t>
  </si>
  <si>
    <t>Repairs and Maintenance - Leasehold Improvements, Land</t>
  </si>
  <si>
    <t>Repairs and Maintenance - Leasehold Improvements, Buildings</t>
  </si>
  <si>
    <t>Repairs and Maintenance - Other Leasehold Improvements</t>
  </si>
  <si>
    <r>
      <t>Repairs and Maintenance</t>
    </r>
    <r>
      <rPr>
        <b/>
        <sz val="11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Office Equipment </t>
    </r>
  </si>
  <si>
    <t>Repairs and Maintenance - Furniture and Fixtures</t>
  </si>
  <si>
    <t>Repairs and Maintenance - IT Equipment and Software</t>
  </si>
  <si>
    <t>Repairs and Maintenance - Machinery</t>
  </si>
  <si>
    <t xml:space="preserve">Repairs and Maintenance - Agricultural, Fishery and Forestry Equipment </t>
  </si>
  <si>
    <t>Repairs and Maintenance - Communication Equipment</t>
  </si>
  <si>
    <t>Repairs and Maintenance - Firefighting Equipment and Accessories</t>
  </si>
  <si>
    <t>Repairs and Maintenance - Hospital Equipment</t>
  </si>
  <si>
    <t xml:space="preserve">Repairs and Maintenance - Medical, Dental and Laboratory Equipment </t>
  </si>
  <si>
    <t>Repairs and Maintenance  - Military and Police Equipment</t>
  </si>
  <si>
    <t xml:space="preserve">Repairs and Maintenance - Sports Equipment </t>
  </si>
  <si>
    <t xml:space="preserve">Repairs and Maintenance - Technical and Scientific Equipment </t>
  </si>
  <si>
    <t xml:space="preserve">Repairs and Maintenance - Other Machinery and Equipment  </t>
  </si>
  <si>
    <t xml:space="preserve">Repairs and Maintenance - Motor Vehicles </t>
  </si>
  <si>
    <t xml:space="preserve">Repairs and Maintenance - Watercrafts </t>
  </si>
  <si>
    <t xml:space="preserve">Repairs and Maintenance - Other Transportation Equipment  </t>
  </si>
  <si>
    <t>Repairs and Maintenance - Other Property, Plant and Equipment</t>
  </si>
  <si>
    <t>Repairs and Maintenance - Roads, Highways and Bridges</t>
  </si>
  <si>
    <t>Repairs and Maintenance - Parks, Plazas and Monuments</t>
  </si>
  <si>
    <t>Repairs and Maintenance - Ports, Lighthouses and Harbors</t>
  </si>
  <si>
    <t xml:space="preserve">Repairs and Maintenance - Artesian Wells, Reservoirs, Pumping Stations and Conduits </t>
  </si>
  <si>
    <t>Repairs and Maintenance - Irrigation, Canals and Laterals</t>
  </si>
  <si>
    <t>Repairs and Maintenance - Flood Controls</t>
  </si>
  <si>
    <t>Repairs and Maintenance - Waterways, Aqueducts, Seawalls, River Walls and Others</t>
  </si>
  <si>
    <t>Repairs and Maintenance - Other Public Infrastructures</t>
  </si>
  <si>
    <t>Repairs and Maintenance - Reforestation - Upland</t>
  </si>
  <si>
    <t>Repairs and Maintenance - Reforestation - Marshland/Swampland</t>
  </si>
  <si>
    <t>Subsidy to Government Owned and/or Controlled Corporations</t>
  </si>
  <si>
    <t>Subsidy to Other Funds</t>
  </si>
  <si>
    <t>Confidential Expenses</t>
  </si>
  <si>
    <t>Intelligence Expenses</t>
  </si>
  <si>
    <t>Extraordinary Expenses</t>
  </si>
  <si>
    <t>Miscellaneous Expenses</t>
  </si>
  <si>
    <t xml:space="preserve">Fidelity Bond Premiums </t>
  </si>
  <si>
    <t>Depreciation - Land Improvements</t>
  </si>
  <si>
    <t>Depreciation - Electrification, Power and Energy Structures</t>
  </si>
  <si>
    <t>Depreciation - Office Buildings</t>
  </si>
  <si>
    <t>Depreciation - Hospitals and Health Centers</t>
  </si>
  <si>
    <t>Depreciation - Markets and Slaughterhouses</t>
  </si>
  <si>
    <t>Depreciation - Other Structures</t>
  </si>
  <si>
    <t xml:space="preserve">Depreciation - Leasehold Improvements, Land </t>
  </si>
  <si>
    <t xml:space="preserve">Depreciation - Leasehold Improvements, Buildings </t>
  </si>
  <si>
    <t xml:space="preserve">Depreciation - Other Leasehold Improvements </t>
  </si>
  <si>
    <t xml:space="preserve">Depreciation - Furniture and Fixtures </t>
  </si>
  <si>
    <t xml:space="preserve">Depreciation - Library Books   </t>
  </si>
  <si>
    <t xml:space="preserve">Depreciation - Machinery   </t>
  </si>
  <si>
    <t xml:space="preserve">Depreciation - Agricultural, Fishery and Forestry Equipment </t>
  </si>
  <si>
    <t xml:space="preserve">Depreciation - Construction and Heavy Equipment </t>
  </si>
  <si>
    <t>Depreciation - Firefighting Equipment and Accessories</t>
  </si>
  <si>
    <t xml:space="preserve">Depreciation - Hospital Equipment </t>
  </si>
  <si>
    <t xml:space="preserve">Depreciation - Medical, Dental and Laboratory Equipment </t>
  </si>
  <si>
    <t xml:space="preserve">Depreciation - Military and Police Equipment </t>
  </si>
  <si>
    <t xml:space="preserve">Depreciation - Other Machineries and Equipment </t>
  </si>
  <si>
    <t>Depreciation - Motor Vehicles</t>
  </si>
  <si>
    <t xml:space="preserve">Depreciation - Watercrafts  </t>
  </si>
  <si>
    <t xml:space="preserve">Depreciation - Other Transportation </t>
  </si>
  <si>
    <t xml:space="preserve">Obsolescence - IT Software  </t>
  </si>
  <si>
    <t xml:space="preserve">Discount on Real Property Taxes  </t>
  </si>
  <si>
    <t xml:space="preserve">Loss of Assets  </t>
  </si>
  <si>
    <t xml:space="preserve">Loss on Guaranty  </t>
  </si>
  <si>
    <t xml:space="preserve">Documentary Stamp Expenses </t>
  </si>
  <si>
    <t xml:space="preserve">Interest Expenses </t>
  </si>
  <si>
    <t xml:space="preserve">Other Financial Charges </t>
  </si>
  <si>
    <t>Cash on Hand</t>
  </si>
  <si>
    <t>Cash-Disbursing Officers</t>
  </si>
  <si>
    <t>Cash in Banks - Local Currency</t>
  </si>
  <si>
    <t>Cash in Banks - Foreign Currency</t>
  </si>
  <si>
    <t>Total Cash</t>
  </si>
  <si>
    <t>Receivable Accounts</t>
  </si>
  <si>
    <t xml:space="preserve">Notes Receivable </t>
  </si>
  <si>
    <t>Inter-agency Receivables</t>
  </si>
  <si>
    <t>Due from LGU's</t>
  </si>
  <si>
    <t>Intra-agency Receivables</t>
  </si>
  <si>
    <t>Materials</t>
  </si>
  <si>
    <t>Supplies</t>
  </si>
  <si>
    <t>Agricultural, Fishery and Forestry Products</t>
  </si>
  <si>
    <t>Total Inventories</t>
  </si>
  <si>
    <t>Deposits on letters of Credit</t>
  </si>
  <si>
    <t>Total Prepayments</t>
  </si>
  <si>
    <t>Total Other Current Assets</t>
  </si>
  <si>
    <t>Investments</t>
  </si>
  <si>
    <t>Total Investments</t>
  </si>
  <si>
    <t>Land and Land Improvements</t>
  </si>
  <si>
    <t>Total :and and Land Improvements</t>
  </si>
  <si>
    <t>Buildings</t>
  </si>
  <si>
    <t>Total Buildings</t>
  </si>
  <si>
    <t>Leasehold Improvements</t>
  </si>
  <si>
    <t>Total Leasehold Improvements</t>
  </si>
  <si>
    <t>Office Equipment, Furniture and Fixtures</t>
  </si>
  <si>
    <t>Total Office Equipment, Furniture and Fixtures</t>
  </si>
  <si>
    <t>Machineries and Equipment</t>
  </si>
  <si>
    <t>Medical, dental, &amp; Laboratory Equipment</t>
  </si>
  <si>
    <t>Total Machineries and Equipment</t>
  </si>
  <si>
    <t>Total Receivables</t>
  </si>
  <si>
    <t>Transportation Equipment</t>
  </si>
  <si>
    <t>Total Transportation Equipment</t>
  </si>
  <si>
    <t>Total Other Property, Plant &amp; Equipment</t>
  </si>
  <si>
    <t>Public Infrastructures</t>
  </si>
  <si>
    <t>Total Public Infrastructures</t>
  </si>
  <si>
    <t>Reforestation Projects</t>
  </si>
  <si>
    <t>Total Reforestation Projects</t>
  </si>
  <si>
    <t>Construction in Progress</t>
  </si>
  <si>
    <t>Public Infrastructures/Reforestation Projects</t>
  </si>
  <si>
    <t>Total Construction in Progress</t>
  </si>
  <si>
    <t>Total Other Assets</t>
  </si>
  <si>
    <t>TOTAL ASSET</t>
  </si>
  <si>
    <t>Payable Accounts</t>
  </si>
  <si>
    <t>Inter-agency Payables</t>
  </si>
  <si>
    <t>Due to Other NGAs</t>
  </si>
  <si>
    <t>Intra-Agency Payables</t>
  </si>
  <si>
    <t>Other Liability Accounts</t>
  </si>
  <si>
    <t>Long-term Liabilities</t>
  </si>
  <si>
    <t>Mortgage/Bonds/Loans Payable</t>
  </si>
  <si>
    <t>Other Long-term Liabilities</t>
  </si>
  <si>
    <t>Total Mortgage/Bonds/Loans Payable</t>
  </si>
  <si>
    <t>Total Deferred Credits</t>
  </si>
  <si>
    <t>Government Equity, beg.</t>
  </si>
  <si>
    <t>Adjustment to Beg. Balance</t>
  </si>
  <si>
    <t xml:space="preserve">Adjusted Beg. Balance </t>
  </si>
  <si>
    <t>Add: Retained Operating Surplus</t>
  </si>
  <si>
    <t xml:space="preserve">     Current Operations</t>
  </si>
  <si>
    <t>Less: Transfer to Registry</t>
  </si>
  <si>
    <t xml:space="preserve">     Public Infrastructures</t>
  </si>
  <si>
    <t xml:space="preserve">     Reforestation</t>
  </si>
  <si>
    <t>Tax Revenue</t>
  </si>
  <si>
    <t>Local Taxes</t>
  </si>
  <si>
    <t xml:space="preserve">Less: Discount on Real Property Taxes  </t>
  </si>
  <si>
    <t>Less: Discount on Special Education Tax</t>
  </si>
  <si>
    <t>Total Local Taxes</t>
  </si>
  <si>
    <t>General Income Accounts</t>
  </si>
  <si>
    <t>Motor Vehicle Users Charge</t>
  </si>
  <si>
    <t>Total Permits and Licenses</t>
  </si>
  <si>
    <t>Total Service Income</t>
  </si>
  <si>
    <t>Net Sales Revenue</t>
  </si>
  <si>
    <t>Total Business Income</t>
  </si>
  <si>
    <t>Total Other Income</t>
  </si>
  <si>
    <t>Total Operating Income</t>
  </si>
  <si>
    <t>Expenses</t>
  </si>
  <si>
    <t>Salaries and Wages</t>
  </si>
  <si>
    <t>Other Compensation</t>
  </si>
  <si>
    <t>Personnel Benefits Contributions</t>
  </si>
  <si>
    <t>Total Personal Services</t>
  </si>
  <si>
    <t>Traveling Expenses</t>
  </si>
  <si>
    <t>Training and Scholarship Expenses</t>
  </si>
  <si>
    <t>Supplies and Materials Expenses</t>
  </si>
  <si>
    <t>Utility Expenses</t>
  </si>
  <si>
    <t>Communication Expenses</t>
  </si>
  <si>
    <t>Telephone Expenses - Landline</t>
  </si>
  <si>
    <t>Professional Services</t>
  </si>
  <si>
    <t>Repairs and Maintenance</t>
  </si>
  <si>
    <t xml:space="preserve">Repairs and Maintenance - Office Equipment </t>
  </si>
  <si>
    <t>Transortation Eequipment</t>
  </si>
  <si>
    <t>Public Infrastuctures</t>
  </si>
  <si>
    <t>Confidential, Intelligence, Extraordinary and Miscellaneous Expenses</t>
  </si>
  <si>
    <t>Non-Cash Expenses</t>
  </si>
  <si>
    <t>Taxes, Insurance Premiums and Other Fees</t>
  </si>
  <si>
    <t>Depreciation</t>
  </si>
  <si>
    <t>Income from Operations</t>
  </si>
  <si>
    <t>Financial Expenses</t>
  </si>
  <si>
    <t>Income before Subsidies, Donations and Extraordinary Items</t>
  </si>
  <si>
    <t>Add:</t>
  </si>
  <si>
    <t>Less:</t>
  </si>
  <si>
    <t>Income before Extraordinary Items</t>
  </si>
  <si>
    <t>Add(Less): Extraordinary Items</t>
  </si>
  <si>
    <t>Gain/Loss on foreign Exchange</t>
  </si>
  <si>
    <t>Classroom at JP Laurel Elem. School, Dad North GSC</t>
  </si>
  <si>
    <t>(With Comparative Figures for CY 2009)</t>
  </si>
  <si>
    <t>Supplier/Creditors</t>
  </si>
  <si>
    <t>Employees</t>
  </si>
  <si>
    <t xml:space="preserve">Payments to  - </t>
  </si>
  <si>
    <t>Other Disbursements</t>
  </si>
  <si>
    <t xml:space="preserve">Cash Provided by (Used in) </t>
  </si>
  <si>
    <t>Sale of Property, Plant and Equipment</t>
  </si>
  <si>
    <t>Sale of Debt Security of Other Entities</t>
  </si>
  <si>
    <t>Collection of Principal on Loans to Other Entities</t>
  </si>
  <si>
    <t>Purchase of Property, Plant and  Equipment and Public Infrastructures</t>
  </si>
  <si>
    <t>Purchase Debt Security of Other Entities</t>
  </si>
  <si>
    <t>Grant /  Make Loans to Other Entities</t>
  </si>
  <si>
    <t xml:space="preserve">Cash Provided by (Used In) </t>
  </si>
  <si>
    <t>Issuance of Debt Securities</t>
  </si>
  <si>
    <t>Acquisition of Loan</t>
  </si>
  <si>
    <t>Net Cash Provided By (used In)</t>
  </si>
  <si>
    <t>Paid under protest</t>
  </si>
  <si>
    <t>2015 Tax credit</t>
  </si>
  <si>
    <t>2016 Tax credit</t>
  </si>
  <si>
    <t>2017 Tax credit</t>
  </si>
  <si>
    <t>2018 Tax credit</t>
  </si>
  <si>
    <t>2019 Tax credit</t>
  </si>
  <si>
    <t>2020 Tax credit</t>
  </si>
  <si>
    <t>2021 Tax credit</t>
  </si>
  <si>
    <t>2022 Tax credit</t>
  </si>
  <si>
    <t>Collection from Taxes</t>
  </si>
  <si>
    <t>Schedule / Aging of Cash Advance - Fund 200</t>
  </si>
  <si>
    <t xml:space="preserve">Samuel, Meriel </t>
  </si>
  <si>
    <t>Kristan Educational Supply</t>
  </si>
  <si>
    <t>Moreno, Erlinda</t>
  </si>
  <si>
    <t>Bordas, Chloe</t>
  </si>
  <si>
    <t>Harmonica Pipes</t>
  </si>
  <si>
    <t>Harmonica Pipe</t>
  </si>
  <si>
    <t>YEAR OF DISALLOWANCE</t>
  </si>
  <si>
    <t>Schedule of Receivables-Disallowances/Charges - Fund 200</t>
  </si>
  <si>
    <t>NAME</t>
  </si>
  <si>
    <t>Payment of Loan Amortization</t>
  </si>
  <si>
    <t>Landing foam for high jump 8x8x6</t>
  </si>
  <si>
    <t>Landing foam for high jump 8x8x21</t>
  </si>
  <si>
    <t>MECS Publishing House</t>
  </si>
  <si>
    <t>DepEd - GSC</t>
  </si>
  <si>
    <t>20-10-06-158</t>
  </si>
  <si>
    <t>Overclaim of Salary</t>
  </si>
  <si>
    <t>20-07-12-305</t>
  </si>
  <si>
    <t>20-08-04-094</t>
  </si>
  <si>
    <t>221-97-04-178</t>
  </si>
  <si>
    <t>221-97-04-179</t>
  </si>
  <si>
    <t>20-02-09-104</t>
  </si>
  <si>
    <t>Vaulting pole, fiberglass, competition model 13'up</t>
  </si>
  <si>
    <t>Current</t>
  </si>
  <si>
    <t>PAYROLL FUND</t>
  </si>
  <si>
    <t>ADVANCES TO OFFICERS AND EMPLOYEES</t>
  </si>
  <si>
    <t>OVERCLAIM OF SALARY</t>
  </si>
  <si>
    <t>Cash at the End of the Period, December 31</t>
  </si>
  <si>
    <t>Cash at the Beginning of the Period, January 1</t>
  </si>
  <si>
    <t>Lariosa, Estrella C , et al</t>
  </si>
  <si>
    <t>SOCOTECO II</t>
  </si>
  <si>
    <t>Factor, Eduardo</t>
  </si>
  <si>
    <t>Abutal, Emelie, et al</t>
  </si>
  <si>
    <t>Bitervo, Amelita, et al</t>
  </si>
  <si>
    <t>General Journal-Obligated</t>
  </si>
  <si>
    <t>Closing</t>
  </si>
  <si>
    <t>Net Income (Loss)</t>
  </si>
  <si>
    <t>Laida's Fastfood/Catering Services</t>
  </si>
  <si>
    <t>Baterbonia, Noel et al</t>
  </si>
  <si>
    <t>Obenieta, Jane Madelette</t>
  </si>
  <si>
    <t xml:space="preserve">Zoila, Rulona </t>
  </si>
  <si>
    <t>Oversubmission</t>
  </si>
  <si>
    <t>Obligated Accounts</t>
  </si>
  <si>
    <t>Income and Expense Summary</t>
  </si>
  <si>
    <t>Local Government of General Santos City</t>
  </si>
  <si>
    <t>Statement of Changes in Government Equity</t>
  </si>
  <si>
    <t>Government Equity, Beginning Balance ( per BS,</t>
  </si>
  <si>
    <t>Add/Deduct: Retained Operating Surplus</t>
  </si>
  <si>
    <t xml:space="preserve">                   Current Operations (Net Income/Loss per SIE) </t>
  </si>
  <si>
    <t xml:space="preserve">                   Prior Years’ Adjustments (Balance per Pre-</t>
  </si>
  <si>
    <t xml:space="preserve">                   Closing Trial Balance)</t>
  </si>
  <si>
    <t>Add/Deduct: Transfer from (to)</t>
  </si>
  <si>
    <t xml:space="preserve">                   Transfer of PPE/completed projects from Trust</t>
  </si>
  <si>
    <t xml:space="preserve">                            Fund/General Fund/Other Fund</t>
  </si>
  <si>
    <t xml:space="preserve">                   Transfer of PPE/completed projects to General</t>
  </si>
  <si>
    <t xml:space="preserve">                            Fund/Other Fund</t>
  </si>
  <si>
    <t xml:space="preserve">                   Transfer of completed Projects to Registry:</t>
  </si>
  <si>
    <t xml:space="preserve">                           Public Infrastructures</t>
  </si>
  <si>
    <t xml:space="preserve">                           Reforestation Projects</t>
  </si>
  <si>
    <t xml:space="preserve">                   Transfer of PPE/completed projects from Other LGUs</t>
  </si>
  <si>
    <t xml:space="preserve">                   Transfer of PPE/completed projects to Other LGUs</t>
  </si>
  <si>
    <t>Other Adjustments @</t>
  </si>
  <si>
    <t>Government Equity, Ending Balance</t>
  </si>
  <si>
    <t>@ These adjustments pertain to journal entries directly debiting or crediting the Government Equity account except</t>
  </si>
  <si>
    <t>for the transfer of completed Public Infrastructures and Reforestation Projects to their respective registry.</t>
  </si>
  <si>
    <t>Appropriate additional information on these adjustments shall be made in the Notes to Financial Statements to</t>
  </si>
  <si>
    <t>facilitate analysis and consolidation.</t>
  </si>
  <si>
    <t>Special Education Fund</t>
  </si>
  <si>
    <t>For the Year - Ended, December 31, 2011</t>
  </si>
  <si>
    <t>(With Comparative Figures for CY 2010)</t>
  </si>
  <si>
    <t>0171-2802-65</t>
  </si>
  <si>
    <t>0171-3122-72</t>
  </si>
  <si>
    <t xml:space="preserve">Barrieses, Julics J. </t>
  </si>
  <si>
    <t>DBP 1207575/1216667</t>
  </si>
  <si>
    <t>DBP 1207780/1216676</t>
  </si>
  <si>
    <t>DBP 1207781/1216677</t>
  </si>
  <si>
    <t>DBP 1216234/1216694</t>
  </si>
  <si>
    <t>DBP 1216322/1216687</t>
  </si>
  <si>
    <t>Bandoria w/ casing</t>
  </si>
  <si>
    <t>Labangal National High School</t>
  </si>
  <si>
    <t>Vicentino, Violinda C</t>
  </si>
  <si>
    <t>Apopong</t>
  </si>
  <si>
    <t>Baluan</t>
  </si>
  <si>
    <t>Batomelong</t>
  </si>
  <si>
    <t>Buayan</t>
  </si>
  <si>
    <t>Bula</t>
  </si>
  <si>
    <t>Calumpang</t>
  </si>
  <si>
    <t>City Heights</t>
  </si>
  <si>
    <t>Conel</t>
  </si>
  <si>
    <t>Dadiangas East</t>
  </si>
  <si>
    <t>Dadiangas North</t>
  </si>
  <si>
    <t>Dadiangas South</t>
  </si>
  <si>
    <t>Dadiangas West</t>
  </si>
  <si>
    <t>Fatima</t>
  </si>
  <si>
    <t>Katangawan</t>
  </si>
  <si>
    <t>Labangal</t>
  </si>
  <si>
    <t>Lagao</t>
  </si>
  <si>
    <t>Ligaya</t>
  </si>
  <si>
    <t>Mabuhay</t>
  </si>
  <si>
    <t>Olympog</t>
  </si>
  <si>
    <t>San Isidro</t>
  </si>
  <si>
    <t>San Jose</t>
  </si>
  <si>
    <t>Siguel</t>
  </si>
  <si>
    <t>Sinawal</t>
  </si>
  <si>
    <t>Tambler</t>
  </si>
  <si>
    <t>Tinagacan</t>
  </si>
  <si>
    <t>Upper Labay</t>
  </si>
  <si>
    <t>23</t>
  </si>
  <si>
    <t>24</t>
  </si>
  <si>
    <t>25</t>
  </si>
  <si>
    <t>26</t>
  </si>
  <si>
    <t>CTO</t>
  </si>
  <si>
    <t>FINANCIAL REPORTS</t>
  </si>
  <si>
    <t>TRUST AND SPECIAL EDUCATION FUNDS</t>
  </si>
  <si>
    <t>APRIL 30, 2011</t>
  </si>
  <si>
    <t>Leonarda Garingo</t>
  </si>
  <si>
    <t>20-11-05-071</t>
  </si>
  <si>
    <t>10% tax</t>
  </si>
  <si>
    <t xml:space="preserve">Duarte, Luz </t>
  </si>
  <si>
    <t>20-11-08-149</t>
  </si>
  <si>
    <t>MJT Builders</t>
  </si>
  <si>
    <t>Collapsible trapal with steel frames</t>
  </si>
  <si>
    <t>Collapsible trapal with steel frame</t>
  </si>
  <si>
    <t>AL Acharon Construction &amp; Supply</t>
  </si>
  <si>
    <t>Landrock Construction</t>
  </si>
  <si>
    <t>Kevin Yoshi Builders</t>
  </si>
  <si>
    <t>20-11-11-234</t>
  </si>
  <si>
    <t>20-11-11-238</t>
  </si>
  <si>
    <t>As of December 31, 2011</t>
  </si>
  <si>
    <t>20-11-11-253</t>
  </si>
  <si>
    <t>Llabore, Dan Lawrence et al</t>
  </si>
  <si>
    <t>Canacan, Jebrel et al</t>
  </si>
  <si>
    <t>Anhao, Julius, et al</t>
  </si>
  <si>
    <t>MECS Publishing House, Inc.</t>
  </si>
  <si>
    <t>Jigzpi Original Apparel</t>
  </si>
  <si>
    <t>Citifront Petron Service Station</t>
  </si>
  <si>
    <t>Abag, Hamsia Danial, et al</t>
  </si>
  <si>
    <t>Two-classroom School Bldg @ New Mabuhay E/S, Mabuhay, GSC</t>
  </si>
  <si>
    <t>Two-classroom School Bldg @ J.Catolico E/S, Lagao,GSC</t>
  </si>
  <si>
    <t>Other Asset</t>
  </si>
  <si>
    <t>Fully Depreciated Assets</t>
  </si>
  <si>
    <t xml:space="preserve"> digital duplicator</t>
  </si>
  <si>
    <t>Sound System</t>
  </si>
  <si>
    <t>P</t>
  </si>
  <si>
    <t>Property, Plant and Equipment including</t>
  </si>
  <si>
    <t xml:space="preserve">   Public infrastructures in Process</t>
  </si>
  <si>
    <t>Prepaid expenses and other current assets</t>
  </si>
  <si>
    <t>Continuing Allotment</t>
  </si>
  <si>
    <t>Continuing Appropriation</t>
  </si>
  <si>
    <t>Obligated allotments of which no liability has been recognized</t>
  </si>
  <si>
    <t>Payroll fund</t>
  </si>
  <si>
    <t>Cash</t>
  </si>
  <si>
    <t>Less: Payroll Fund</t>
  </si>
  <si>
    <t>Total Cash Available</t>
  </si>
  <si>
    <t>Less: Continuing Appropriation</t>
  </si>
  <si>
    <t xml:space="preserve">         Obligated Allotments of which no liability had </t>
  </si>
  <si>
    <t xml:space="preserve">         been recognized</t>
  </si>
  <si>
    <t xml:space="preserve">         Continuing Allotment</t>
  </si>
  <si>
    <t xml:space="preserve">         Payables</t>
  </si>
  <si>
    <t xml:space="preserve">         Deferred Credits</t>
  </si>
  <si>
    <t>Total Cash Available for Operations</t>
  </si>
  <si>
    <t>Due from NGOs/POs</t>
  </si>
  <si>
    <t>(With Comparative Figures for 2011)</t>
  </si>
  <si>
    <t>CY 2011 SET receivables</t>
  </si>
  <si>
    <t>Advance Payment of Taxpayers on SET</t>
  </si>
  <si>
    <t>CY 2012 SET receivables</t>
  </si>
  <si>
    <t xml:space="preserve"> TRIAL BALANCE</t>
  </si>
  <si>
    <t>Obra, Sonny</t>
  </si>
  <si>
    <t>Two-classroom school building at Fatima NHS, Brgy Fatima, GSC</t>
  </si>
  <si>
    <t>A.L. Acharon Construction &amp; Supply, TIN 180-673-589 V</t>
  </si>
  <si>
    <t>as of December 31, 2011)</t>
  </si>
  <si>
    <t>Ananlysis of Government Equity Available for Operations</t>
  </si>
  <si>
    <t>Available for Operations</t>
  </si>
  <si>
    <t>Analysis of Cash:</t>
  </si>
  <si>
    <t>Two-classroom school Bldg at Lanton High School, Brgy Apopong, GSC</t>
  </si>
  <si>
    <t>Two-classroom School Bldg at Ligaya High School, Brgy. Ligaya, GSC</t>
  </si>
  <si>
    <t>Two-classroom School Bldg. at R.C.Acharon E/S, Brgy Calumpang, GSC</t>
  </si>
  <si>
    <t>JG Oranza Construction</t>
  </si>
  <si>
    <t xml:space="preserve">Dili, Josephine </t>
  </si>
  <si>
    <t xml:space="preserve">Vicentino, Violinda </t>
  </si>
  <si>
    <t>Cofejok Construction and Supply</t>
  </si>
  <si>
    <t>J.G. Oranza Construction</t>
  </si>
  <si>
    <t>Vicentino, Violinda</t>
  </si>
  <si>
    <t>20-12-03-046</t>
  </si>
  <si>
    <t xml:space="preserve"> 20-12-02-043</t>
  </si>
  <si>
    <t>DBP 1217451</t>
  </si>
  <si>
    <t>Two-classroom School Bldg at Ligaya HS, Brgy. Ligaya, GSC</t>
  </si>
  <si>
    <t>Two-classroom school Bldg at Lanton HS, Brgy Apopong, GSC</t>
  </si>
  <si>
    <t>20-12-04-103</t>
  </si>
  <si>
    <t xml:space="preserve">Barrieses, Jlics </t>
  </si>
  <si>
    <t xml:space="preserve">Amoncio, Teresita A. </t>
  </si>
  <si>
    <t>113-02-06</t>
  </si>
  <si>
    <t>For the Quarter - Ended, September 30, 2012</t>
  </si>
  <si>
    <t>Cash at the Beginning of the Period, July 1</t>
  </si>
  <si>
    <t>Cash at the End of the Period, September 30</t>
  </si>
  <si>
    <t>AB Vision Engineering Construction</t>
  </si>
  <si>
    <t>Vertical Builders</t>
  </si>
  <si>
    <t>Sarex Builders</t>
  </si>
  <si>
    <t>Unclaimed  CRAA incentives</t>
  </si>
  <si>
    <t>2023-2032TC</t>
  </si>
  <si>
    <t>2033-2041TC</t>
  </si>
  <si>
    <t>JULY 31, 2012</t>
  </si>
  <si>
    <t>20-12-05-215</t>
  </si>
  <si>
    <t>Government Equity, August 31</t>
  </si>
  <si>
    <t>Hanna Via Design and Construction</t>
  </si>
  <si>
    <t>One-classroom school bldg. at Banisil National High School,GSC</t>
  </si>
  <si>
    <t>HVC Sagittarius Commercial and Construction</t>
  </si>
  <si>
    <t>Gensan Ultimate Auto Supply &amp; HDWE., Inc.</t>
  </si>
  <si>
    <t>Triple Z Merchandising and Electrical Services</t>
  </si>
  <si>
    <t>Marbel Constrcution Development</t>
  </si>
  <si>
    <t>As of September 30, 2012</t>
  </si>
  <si>
    <t>For the Period-Ended, September 30, 2012</t>
  </si>
  <si>
    <t>For the Month - Ended, September 30, 2012</t>
  </si>
  <si>
    <t>UBIX Corporation</t>
  </si>
  <si>
    <t>20-12-09-238</t>
  </si>
  <si>
    <t>Cash at the Beginning of the Period, September 1</t>
  </si>
  <si>
    <t>(per BS as of September 30, 2012)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</si>
</sst>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"/>
    <numFmt numFmtId="165" formatCode="#,##0.00;[Red]#,##0.00"/>
    <numFmt numFmtId="166" formatCode="mm/dd/yy"/>
    <numFmt numFmtId="167" formatCode="mm/dd/yy;@"/>
    <numFmt numFmtId="168" formatCode="_(* #,##0.0_);_(* \(#,##0.0\);_(* &quot;-&quot;??_);_(@_)"/>
  </numFmts>
  <fonts count="4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0"/>
      <name val="Aria"/>
    </font>
    <font>
      <b/>
      <sz val="8"/>
      <name val="Arial Narrow"/>
      <family val="2"/>
    </font>
    <font>
      <sz val="10"/>
      <color theme="1"/>
      <name val="Arial"/>
      <family val="2"/>
    </font>
    <font>
      <b/>
      <sz val="9"/>
      <name val="Arial Narrow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0">
    <xf numFmtId="0" fontId="0" fillId="0" borderId="0" xfId="0"/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165" fontId="12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left"/>
    </xf>
    <xf numFmtId="0" fontId="15" fillId="0" borderId="0" xfId="0" applyFont="1"/>
    <xf numFmtId="43" fontId="7" fillId="0" borderId="0" xfId="1" applyFont="1" applyAlignment="1">
      <alignment horizontal="center"/>
    </xf>
    <xf numFmtId="0" fontId="7" fillId="0" borderId="0" xfId="0" applyFont="1"/>
    <xf numFmtId="43" fontId="0" fillId="0" borderId="0" xfId="1" applyFont="1"/>
    <xf numFmtId="39" fontId="0" fillId="0" borderId="0" xfId="0" applyNumberFormat="1"/>
    <xf numFmtId="43" fontId="0" fillId="0" borderId="1" xfId="1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43" fontId="0" fillId="0" borderId="0" xfId="0" applyNumberFormat="1" applyBorder="1"/>
    <xf numFmtId="43" fontId="0" fillId="0" borderId="1" xfId="0" applyNumberFormat="1" applyBorder="1"/>
    <xf numFmtId="4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/>
    <xf numFmtId="0" fontId="2" fillId="0" borderId="4" xfId="0" quotePrefix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Fill="1" applyBorder="1"/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0" fontId="14" fillId="1" borderId="6" xfId="0" applyFont="1" applyFill="1" applyBorder="1" applyAlignment="1">
      <alignment horizontal="center" vertical="center" wrapText="1"/>
    </xf>
    <xf numFmtId="0" fontId="7" fillId="1" borderId="6" xfId="0" applyFont="1" applyFill="1" applyBorder="1" applyAlignment="1">
      <alignment horizontal="centerContinuous" vertical="center" wrapText="1"/>
    </xf>
    <xf numFmtId="0" fontId="14" fillId="1" borderId="7" xfId="0" applyFont="1" applyFill="1" applyBorder="1" applyAlignment="1">
      <alignment horizontal="center" vertical="center" wrapText="1"/>
    </xf>
    <xf numFmtId="0" fontId="14" fillId="1" borderId="8" xfId="0" applyFont="1" applyFill="1" applyBorder="1" applyAlignment="1">
      <alignment horizontal="center"/>
    </xf>
    <xf numFmtId="14" fontId="14" fillId="1" borderId="9" xfId="0" applyNumberFormat="1" applyFont="1" applyFill="1" applyBorder="1" applyAlignment="1">
      <alignment horizontal="center"/>
    </xf>
    <xf numFmtId="0" fontId="7" fillId="1" borderId="9" xfId="0" applyFont="1" applyFill="1" applyBorder="1" applyAlignment="1">
      <alignment horizontal="center"/>
    </xf>
    <xf numFmtId="0" fontId="18" fillId="0" borderId="10" xfId="0" applyFont="1" applyBorder="1"/>
    <xf numFmtId="0" fontId="18" fillId="0" borderId="0" xfId="0" applyFont="1" applyBorder="1"/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/>
    <xf numFmtId="0" fontId="19" fillId="0" borderId="10" xfId="0" applyFont="1" applyBorder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0" fontId="20" fillId="0" borderId="0" xfId="0" applyFont="1" applyBorder="1"/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/>
    <xf numFmtId="0" fontId="20" fillId="0" borderId="13" xfId="0" applyFont="1" applyBorder="1"/>
    <xf numFmtId="0" fontId="20" fillId="0" borderId="10" xfId="0" applyFont="1" applyBorder="1"/>
    <xf numFmtId="0" fontId="13" fillId="0" borderId="0" xfId="0" applyFont="1" applyBorder="1"/>
    <xf numFmtId="0" fontId="20" fillId="0" borderId="0" xfId="0" applyFont="1" applyFill="1" applyBorder="1"/>
    <xf numFmtId="166" fontId="20" fillId="0" borderId="4" xfId="0" applyNumberFormat="1" applyFont="1" applyBorder="1" applyAlignment="1">
      <alignment horizontal="center"/>
    </xf>
    <xf numFmtId="14" fontId="20" fillId="0" borderId="4" xfId="0" applyNumberFormat="1" applyFont="1" applyBorder="1" applyAlignment="1">
      <alignment horizontal="center"/>
    </xf>
    <xf numFmtId="0" fontId="18" fillId="0" borderId="0" xfId="0" applyFont="1" applyFill="1" applyBorder="1"/>
    <xf numFmtId="39" fontId="19" fillId="0" borderId="12" xfId="0" applyNumberFormat="1" applyFont="1" applyBorder="1"/>
    <xf numFmtId="39" fontId="18" fillId="0" borderId="12" xfId="0" applyNumberFormat="1" applyFont="1" applyBorder="1"/>
    <xf numFmtId="39" fontId="13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21" fillId="0" borderId="14" xfId="0" applyFont="1" applyBorder="1"/>
    <xf numFmtId="0" fontId="14" fillId="0" borderId="15" xfId="0" applyFont="1" applyBorder="1"/>
    <xf numFmtId="0" fontId="21" fillId="0" borderId="16" xfId="0" applyFont="1" applyBorder="1" applyAlignment="1">
      <alignment horizontal="left"/>
    </xf>
    <xf numFmtId="0" fontId="13" fillId="0" borderId="17" xfId="0" applyFont="1" applyBorder="1" applyAlignment="1">
      <alignment horizontal="centerContinuous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39" fontId="10" fillId="0" borderId="0" xfId="0" applyNumberFormat="1" applyFont="1" applyBorder="1"/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9" fontId="22" fillId="0" borderId="0" xfId="0" applyNumberFormat="1" applyFont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39" fontId="4" fillId="0" borderId="0" xfId="0" applyNumberFormat="1" applyFont="1" applyFill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4" xfId="0" applyFont="1" applyFill="1" applyBorder="1"/>
    <xf numFmtId="0" fontId="1" fillId="0" borderId="25" xfId="0" applyFont="1" applyFill="1" applyBorder="1"/>
    <xf numFmtId="0" fontId="1" fillId="0" borderId="24" xfId="0" applyFont="1" applyFill="1" applyBorder="1"/>
    <xf numFmtId="0" fontId="1" fillId="0" borderId="23" xfId="0" applyFont="1" applyFill="1" applyBorder="1"/>
    <xf numFmtId="0" fontId="1" fillId="0" borderId="26" xfId="0" applyFont="1" applyFill="1" applyBorder="1"/>
    <xf numFmtId="43" fontId="1" fillId="0" borderId="23" xfId="1" applyFont="1" applyFill="1" applyBorder="1"/>
    <xf numFmtId="43" fontId="1" fillId="0" borderId="27" xfId="1" applyFont="1" applyFill="1" applyBorder="1"/>
    <xf numFmtId="43" fontId="1" fillId="0" borderId="28" xfId="1" applyFont="1" applyFill="1" applyBorder="1"/>
    <xf numFmtId="43" fontId="1" fillId="0" borderId="24" xfId="1" applyFont="1" applyFill="1" applyBorder="1"/>
    <xf numFmtId="43" fontId="2" fillId="0" borderId="23" xfId="1" applyFont="1" applyFill="1" applyBorder="1"/>
    <xf numFmtId="0" fontId="5" fillId="0" borderId="18" xfId="0" applyFont="1" applyFill="1" applyBorder="1"/>
    <xf numFmtId="43" fontId="5" fillId="0" borderId="3" xfId="1" applyFont="1" applyFill="1" applyBorder="1"/>
    <xf numFmtId="39" fontId="5" fillId="0" borderId="3" xfId="1" applyNumberFormat="1" applyFont="1" applyFill="1" applyBorder="1"/>
    <xf numFmtId="4" fontId="1" fillId="0" borderId="0" xfId="1" applyNumberFormat="1" applyFont="1" applyFill="1" applyBorder="1"/>
    <xf numFmtId="4" fontId="1" fillId="0" borderId="29" xfId="1" applyNumberFormat="1" applyFont="1" applyFill="1" applyBorder="1"/>
    <xf numFmtId="4" fontId="1" fillId="0" borderId="11" xfId="1" applyNumberFormat="1" applyFont="1" applyFill="1" applyBorder="1"/>
    <xf numFmtId="4" fontId="1" fillId="0" borderId="3" xfId="1" applyNumberFormat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11" xfId="1" applyFont="1" applyFill="1" applyBorder="1"/>
    <xf numFmtId="43" fontId="1" fillId="0" borderId="3" xfId="1" applyFont="1" applyFill="1" applyBorder="1"/>
    <xf numFmtId="43" fontId="1" fillId="0" borderId="0" xfId="1" applyFont="1" applyFill="1"/>
    <xf numFmtId="0" fontId="1" fillId="0" borderId="0" xfId="0" applyFont="1" applyFill="1" applyBorder="1"/>
    <xf numFmtId="39" fontId="1" fillId="0" borderId="3" xfId="1" applyNumberFormat="1" applyFont="1" applyFill="1" applyBorder="1"/>
    <xf numFmtId="43" fontId="1" fillId="0" borderId="4" xfId="1" applyFont="1" applyFill="1" applyBorder="1"/>
    <xf numFmtId="0" fontId="6" fillId="0" borderId="18" xfId="0" applyFont="1" applyFill="1" applyBorder="1"/>
    <xf numFmtId="0" fontId="5" fillId="0" borderId="19" xfId="0" applyFont="1" applyFill="1" applyBorder="1"/>
    <xf numFmtId="39" fontId="5" fillId="0" borderId="21" xfId="1" applyNumberFormat="1" applyFont="1" applyFill="1" applyBorder="1"/>
    <xf numFmtId="4" fontId="1" fillId="0" borderId="20" xfId="1" applyNumberFormat="1" applyFont="1" applyFill="1" applyBorder="1"/>
    <xf numFmtId="4" fontId="1" fillId="0" borderId="31" xfId="1" applyNumberFormat="1" applyFont="1" applyFill="1" applyBorder="1"/>
    <xf numFmtId="4" fontId="1" fillId="0" borderId="32" xfId="1" applyNumberFormat="1" applyFont="1" applyFill="1" applyBorder="1"/>
    <xf numFmtId="4" fontId="1" fillId="0" borderId="33" xfId="1" applyNumberFormat="1" applyFont="1" applyFill="1" applyBorder="1"/>
    <xf numFmtId="4" fontId="1" fillId="0" borderId="21" xfId="1" applyNumberFormat="1" applyFont="1" applyFill="1" applyBorder="1"/>
    <xf numFmtId="4" fontId="2" fillId="0" borderId="20" xfId="1" applyNumberFormat="1" applyFont="1" applyFill="1" applyBorder="1"/>
    <xf numFmtId="0" fontId="5" fillId="0" borderId="0" xfId="0" applyFont="1" applyFill="1"/>
    <xf numFmtId="43" fontId="5" fillId="0" borderId="0" xfId="1" applyFont="1" applyFill="1"/>
    <xf numFmtId="39" fontId="5" fillId="0" borderId="0" xfId="1" applyNumberFormat="1" applyFont="1" applyFill="1"/>
    <xf numFmtId="4" fontId="1" fillId="0" borderId="0" xfId="1" applyNumberFormat="1" applyFont="1" applyFill="1"/>
    <xf numFmtId="4" fontId="2" fillId="0" borderId="0" xfId="1" applyNumberFormat="1" applyFont="1" applyFill="1"/>
    <xf numFmtId="0" fontId="8" fillId="0" borderId="0" xfId="0" applyFont="1" applyFill="1"/>
    <xf numFmtId="43" fontId="8" fillId="0" borderId="0" xfId="1" applyFont="1" applyFill="1"/>
    <xf numFmtId="39" fontId="17" fillId="0" borderId="0" xfId="0" applyNumberFormat="1" applyFont="1" applyAlignment="1">
      <alignment horizontal="center"/>
    </xf>
    <xf numFmtId="0" fontId="20" fillId="0" borderId="34" xfId="0" applyFont="1" applyBorder="1"/>
    <xf numFmtId="0" fontId="7" fillId="0" borderId="35" xfId="0" applyFont="1" applyBorder="1" applyAlignment="1"/>
    <xf numFmtId="0" fontId="7" fillId="0" borderId="4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20" fillId="0" borderId="14" xfId="0" applyFont="1" applyBorder="1"/>
    <xf numFmtId="14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3" fontId="0" fillId="0" borderId="0" xfId="1" applyFont="1" applyFill="1"/>
    <xf numFmtId="39" fontId="0" fillId="0" borderId="0" xfId="0" applyNumberFormat="1" applyFill="1" applyBorder="1"/>
    <xf numFmtId="39" fontId="7" fillId="0" borderId="0" xfId="0" applyNumberFormat="1" applyFont="1" applyFill="1" applyBorder="1"/>
    <xf numFmtId="0" fontId="4" fillId="0" borderId="0" xfId="0" applyFont="1" applyBorder="1"/>
    <xf numFmtId="39" fontId="0" fillId="0" borderId="0" xfId="1" applyNumberFormat="1" applyFont="1" applyFill="1" applyBorder="1"/>
    <xf numFmtId="43" fontId="0" fillId="0" borderId="0" xfId="1" applyFont="1" applyFill="1" applyBorder="1"/>
    <xf numFmtId="0" fontId="7" fillId="0" borderId="0" xfId="0" applyFont="1" applyBorder="1"/>
    <xf numFmtId="39" fontId="7" fillId="0" borderId="0" xfId="1" applyNumberFormat="1" applyFont="1" applyFill="1" applyBorder="1"/>
    <xf numFmtId="39" fontId="0" fillId="0" borderId="0" xfId="0" applyNumberForma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/>
    <xf numFmtId="39" fontId="7" fillId="0" borderId="0" xfId="1" applyNumberFormat="1" applyFont="1" applyFill="1" applyBorder="1" applyAlignment="1">
      <alignment horizontal="center"/>
    </xf>
    <xf numFmtId="0" fontId="23" fillId="0" borderId="0" xfId="0" applyFont="1" applyBorder="1"/>
    <xf numFmtId="39" fontId="7" fillId="0" borderId="0" xfId="0" applyNumberFormat="1" applyFont="1" applyBorder="1"/>
    <xf numFmtId="39" fontId="0" fillId="0" borderId="0" xfId="0" applyNumberFormat="1" applyBorder="1"/>
    <xf numFmtId="39" fontId="0" fillId="0" borderId="0" xfId="1" applyNumberFormat="1" applyFont="1" applyBorder="1"/>
    <xf numFmtId="43" fontId="0" fillId="0" borderId="0" xfId="1" applyNumberFormat="1" applyFont="1" applyBorder="1"/>
    <xf numFmtId="43" fontId="7" fillId="0" borderId="0" xfId="1" applyFont="1" applyBorder="1" applyAlignment="1">
      <alignment horizontal="center"/>
    </xf>
    <xf numFmtId="43" fontId="0" fillId="0" borderId="0" xfId="1" applyFont="1" applyAlignment="1">
      <alignment horizontal="right"/>
    </xf>
    <xf numFmtId="0" fontId="0" fillId="0" borderId="1" xfId="0" applyFill="1" applyBorder="1"/>
    <xf numFmtId="0" fontId="26" fillId="0" borderId="0" xfId="0" applyFont="1" applyFill="1"/>
    <xf numFmtId="0" fontId="24" fillId="0" borderId="0" xfId="0" applyFont="1" applyFill="1"/>
    <xf numFmtId="4" fontId="26" fillId="0" borderId="0" xfId="0" applyNumberFormat="1" applyFont="1" applyFill="1"/>
    <xf numFmtId="0" fontId="12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/>
    <xf numFmtId="39" fontId="9" fillId="0" borderId="0" xfId="1" applyNumberFormat="1" applyFont="1" applyFill="1"/>
    <xf numFmtId="4" fontId="10" fillId="0" borderId="0" xfId="1" applyNumberFormat="1" applyFont="1" applyFill="1"/>
    <xf numFmtId="4" fontId="13" fillId="0" borderId="0" xfId="1" applyNumberFormat="1" applyFont="1" applyFill="1"/>
    <xf numFmtId="43" fontId="10" fillId="0" borderId="0" xfId="1" applyFont="1" applyFill="1"/>
    <xf numFmtId="0" fontId="9" fillId="0" borderId="0" xfId="0" applyFont="1" applyFill="1"/>
    <xf numFmtId="43" fontId="9" fillId="0" borderId="0" xfId="1" applyFont="1" applyFill="1"/>
    <xf numFmtId="43" fontId="10" fillId="0" borderId="0" xfId="1" applyFont="1" applyBorder="1"/>
    <xf numFmtId="0" fontId="27" fillId="0" borderId="0" xfId="0" applyFont="1" applyBorder="1" applyAlignment="1">
      <alignment horizontal="center"/>
    </xf>
    <xf numFmtId="39" fontId="19" fillId="0" borderId="36" xfId="0" applyNumberFormat="1" applyFont="1" applyBorder="1" applyAlignment="1"/>
    <xf numFmtId="43" fontId="19" fillId="0" borderId="36" xfId="1" applyFont="1" applyBorder="1" applyAlignment="1"/>
    <xf numFmtId="39" fontId="19" fillId="0" borderId="37" xfId="0" applyNumberFormat="1" applyFont="1" applyBorder="1"/>
    <xf numFmtId="43" fontId="19" fillId="0" borderId="37" xfId="1" applyFont="1" applyBorder="1"/>
    <xf numFmtId="39" fontId="2" fillId="0" borderId="12" xfId="0" applyNumberFormat="1" applyFont="1" applyBorder="1"/>
    <xf numFmtId="39" fontId="18" fillId="0" borderId="12" xfId="0" applyNumberFormat="1" applyFont="1" applyBorder="1" applyAlignment="1"/>
    <xf numFmtId="43" fontId="18" fillId="0" borderId="12" xfId="1" applyFont="1" applyBorder="1" applyAlignment="1"/>
    <xf numFmtId="43" fontId="18" fillId="0" borderId="12" xfId="1" applyFont="1" applyBorder="1"/>
    <xf numFmtId="166" fontId="27" fillId="0" borderId="4" xfId="0" applyNumberFormat="1" applyFont="1" applyBorder="1" applyAlignment="1">
      <alignment horizontal="center"/>
    </xf>
    <xf numFmtId="4" fontId="1" fillId="0" borderId="30" xfId="1" applyNumberFormat="1" applyFont="1" applyFill="1" applyBorder="1"/>
    <xf numFmtId="4" fontId="1" fillId="0" borderId="4" xfId="1" applyNumberFormat="1" applyFont="1" applyFill="1" applyBorder="1"/>
    <xf numFmtId="4" fontId="1" fillId="0" borderId="2" xfId="1" applyNumberFormat="1" applyFont="1" applyFill="1" applyBorder="1"/>
    <xf numFmtId="164" fontId="2" fillId="0" borderId="0" xfId="1" applyNumberFormat="1" applyFont="1" applyFill="1" applyBorder="1"/>
    <xf numFmtId="0" fontId="9" fillId="0" borderId="0" xfId="0" applyFont="1" applyFill="1" applyBorder="1"/>
    <xf numFmtId="43" fontId="18" fillId="0" borderId="12" xfId="0" applyNumberFormat="1" applyFont="1" applyBorder="1"/>
    <xf numFmtId="167" fontId="27" fillId="0" borderId="4" xfId="0" applyNumberFormat="1" applyFont="1" applyBorder="1" applyAlignment="1">
      <alignment horizontal="center"/>
    </xf>
    <xf numFmtId="43" fontId="19" fillId="0" borderId="36" xfId="1" applyFont="1" applyBorder="1"/>
    <xf numFmtId="13" fontId="10" fillId="0" borderId="0" xfId="1" applyNumberFormat="1" applyFont="1" applyFill="1"/>
    <xf numFmtId="43" fontId="0" fillId="0" borderId="0" xfId="1" applyNumberFormat="1" applyFont="1"/>
    <xf numFmtId="1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/>
    <xf numFmtId="43" fontId="7" fillId="0" borderId="15" xfId="1" applyFont="1" applyBorder="1" applyAlignment="1">
      <alignment horizontal="center"/>
    </xf>
    <xf numFmtId="4" fontId="0" fillId="0" borderId="28" xfId="0" applyNumberFormat="1" applyBorder="1"/>
    <xf numFmtId="0" fontId="0" fillId="0" borderId="28" xfId="0" applyBorder="1"/>
    <xf numFmtId="167" fontId="18" fillId="0" borderId="4" xfId="0" applyNumberFormat="1" applyFont="1" applyBorder="1" applyAlignment="1">
      <alignment horizontal="center"/>
    </xf>
    <xf numFmtId="39" fontId="7" fillId="0" borderId="38" xfId="0" applyNumberFormat="1" applyFont="1" applyBorder="1"/>
    <xf numFmtId="39" fontId="7" fillId="0" borderId="0" xfId="1" applyNumberFormat="1" applyFont="1" applyFill="1"/>
    <xf numFmtId="0" fontId="7" fillId="0" borderId="29" xfId="0" applyFont="1" applyBorder="1"/>
    <xf numFmtId="0" fontId="7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5" fillId="0" borderId="18" xfId="0" applyFont="1" applyFill="1" applyBorder="1" applyAlignment="1"/>
    <xf numFmtId="43" fontId="7" fillId="0" borderId="0" xfId="0" applyNumberFormat="1" applyFont="1" applyBorder="1"/>
    <xf numFmtId="43" fontId="28" fillId="0" borderId="0" xfId="1" applyFont="1" applyBorder="1"/>
    <xf numFmtId="1" fontId="28" fillId="0" borderId="0" xfId="1" applyNumberFormat="1" applyFont="1" applyBorder="1"/>
    <xf numFmtId="0" fontId="28" fillId="0" borderId="43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" xfId="0" applyFont="1" applyBorder="1"/>
    <xf numFmtId="43" fontId="28" fillId="0" borderId="4" xfId="0" applyNumberFormat="1" applyFont="1" applyBorder="1" applyAlignment="1">
      <alignment horizontal="center"/>
    </xf>
    <xf numFmtId="0" fontId="28" fillId="0" borderId="29" xfId="0" applyFont="1" applyBorder="1"/>
    <xf numFmtId="0" fontId="28" fillId="0" borderId="0" xfId="0" applyFont="1" applyBorder="1"/>
    <xf numFmtId="0" fontId="28" fillId="0" borderId="2" xfId="0" applyFont="1" applyBorder="1"/>
    <xf numFmtId="43" fontId="28" fillId="0" borderId="4" xfId="1" applyFont="1" applyBorder="1" applyAlignment="1">
      <alignment horizontal="center"/>
    </xf>
    <xf numFmtId="0" fontId="28" fillId="0" borderId="0" xfId="0" applyFont="1" applyFill="1" applyBorder="1"/>
    <xf numFmtId="0" fontId="28" fillId="0" borderId="4" xfId="0" quotePrefix="1" applyFont="1" applyBorder="1" applyAlignment="1">
      <alignment horizontal="center"/>
    </xf>
    <xf numFmtId="43" fontId="28" fillId="0" borderId="42" xfId="0" applyNumberFormat="1" applyFont="1" applyBorder="1" applyAlignment="1">
      <alignment horizontal="center"/>
    </xf>
    <xf numFmtId="49" fontId="28" fillId="0" borderId="4" xfId="0" quotePrefix="1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43" fontId="28" fillId="0" borderId="0" xfId="0" applyNumberFormat="1" applyFont="1" applyBorder="1" applyAlignment="1">
      <alignment horizontal="center"/>
    </xf>
    <xf numFmtId="43" fontId="28" fillId="0" borderId="0" xfId="1" applyFont="1" applyBorder="1" applyAlignment="1">
      <alignment horizontal="center"/>
    </xf>
    <xf numFmtId="43" fontId="28" fillId="0" borderId="42" xfId="1" applyFont="1" applyBorder="1" applyAlignment="1">
      <alignment horizontal="center"/>
    </xf>
    <xf numFmtId="43" fontId="28" fillId="0" borderId="0" xfId="0" applyNumberFormat="1" applyFont="1" applyBorder="1"/>
    <xf numFmtId="0" fontId="17" fillId="0" borderId="4" xfId="0" applyFont="1" applyBorder="1" applyAlignment="1">
      <alignment horizontal="center"/>
    </xf>
    <xf numFmtId="0" fontId="28" fillId="0" borderId="4" xfId="0" applyFont="1" applyBorder="1" applyAlignment="1">
      <alignment horizontal="right"/>
    </xf>
    <xf numFmtId="9" fontId="28" fillId="0" borderId="0" xfId="0" applyNumberFormat="1" applyFont="1" applyBorder="1"/>
    <xf numFmtId="43" fontId="28" fillId="0" borderId="0" xfId="1" applyFont="1" applyBorder="1" applyAlignment="1">
      <alignment horizontal="right"/>
    </xf>
    <xf numFmtId="0" fontId="28" fillId="0" borderId="1" xfId="0" applyFont="1" applyBorder="1"/>
    <xf numFmtId="43" fontId="28" fillId="0" borderId="35" xfId="0" applyNumberFormat="1" applyFont="1" applyBorder="1" applyAlignment="1">
      <alignment horizontal="center"/>
    </xf>
    <xf numFmtId="43" fontId="28" fillId="0" borderId="4" xfId="1" applyFont="1" applyFill="1" applyBorder="1" applyAlignment="1">
      <alignment horizontal="center"/>
    </xf>
    <xf numFmtId="0" fontId="17" fillId="0" borderId="4" xfId="0" applyFont="1" applyBorder="1" applyAlignment="1"/>
    <xf numFmtId="4" fontId="28" fillId="0" borderId="0" xfId="0" applyNumberFormat="1" applyFont="1" applyBorder="1"/>
    <xf numFmtId="49" fontId="28" fillId="0" borderId="1" xfId="0" applyNumberFormat="1" applyFont="1" applyBorder="1" applyAlignment="1">
      <alignment horizontal="center"/>
    </xf>
    <xf numFmtId="43" fontId="28" fillId="0" borderId="39" xfId="1" applyFont="1" applyBorder="1" applyAlignment="1">
      <alignment horizontal="center"/>
    </xf>
    <xf numFmtId="0" fontId="28" fillId="0" borderId="39" xfId="0" applyFont="1" applyBorder="1"/>
    <xf numFmtId="0" fontId="7" fillId="0" borderId="4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43" fontId="31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Continuous"/>
    </xf>
    <xf numFmtId="43" fontId="6" fillId="0" borderId="0" xfId="1" applyFont="1" applyFill="1" applyBorder="1" applyAlignment="1">
      <alignment horizontal="centerContinuous"/>
    </xf>
    <xf numFmtId="43" fontId="6" fillId="0" borderId="0" xfId="1" applyFont="1" applyFill="1" applyBorder="1" applyAlignment="1">
      <alignment horizontal="left"/>
    </xf>
    <xf numFmtId="0" fontId="32" fillId="0" borderId="26" xfId="0" applyNumberFormat="1" applyFont="1" applyFill="1" applyBorder="1" applyAlignment="1">
      <alignment horizontal="center"/>
    </xf>
    <xf numFmtId="0" fontId="32" fillId="0" borderId="27" xfId="0" applyNumberFormat="1" applyFont="1" applyFill="1" applyBorder="1" applyAlignment="1">
      <alignment horizontal="center"/>
    </xf>
    <xf numFmtId="0" fontId="32" fillId="0" borderId="28" xfId="0" applyNumberFormat="1" applyFont="1" applyFill="1" applyBorder="1" applyAlignment="1">
      <alignment horizontal="center"/>
    </xf>
    <xf numFmtId="0" fontId="32" fillId="0" borderId="48" xfId="0" applyNumberFormat="1" applyFont="1" applyFill="1" applyBorder="1" applyAlignment="1">
      <alignment horizontal="centerContinuous"/>
    </xf>
    <xf numFmtId="0" fontId="32" fillId="0" borderId="29" xfId="0" applyNumberFormat="1" applyFont="1" applyFill="1" applyBorder="1" applyAlignment="1">
      <alignment horizontal="center"/>
    </xf>
    <xf numFmtId="0" fontId="32" fillId="0" borderId="4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43" fontId="32" fillId="0" borderId="45" xfId="1" applyFont="1" applyFill="1" applyBorder="1" applyAlignment="1">
      <alignment horizontal="center"/>
    </xf>
    <xf numFmtId="43" fontId="32" fillId="0" borderId="43" xfId="1" applyFont="1" applyFill="1" applyBorder="1" applyAlignment="1">
      <alignment horizontal="center"/>
    </xf>
    <xf numFmtId="0" fontId="32" fillId="0" borderId="49" xfId="0" applyNumberFormat="1" applyFont="1" applyFill="1" applyBorder="1" applyAlignment="1">
      <alignment horizontal="center"/>
    </xf>
    <xf numFmtId="0" fontId="32" fillId="0" borderId="35" xfId="0" applyNumberFormat="1" applyFont="1" applyFill="1" applyBorder="1" applyAlignment="1">
      <alignment horizontal="left"/>
    </xf>
    <xf numFmtId="43" fontId="32" fillId="0" borderId="4" xfId="1" applyFont="1" applyFill="1" applyBorder="1" applyAlignment="1">
      <alignment horizontal="center"/>
    </xf>
    <xf numFmtId="43" fontId="32" fillId="0" borderId="29" xfId="1" applyFont="1" applyFill="1" applyBorder="1" applyAlignment="1">
      <alignment horizontal="center"/>
    </xf>
    <xf numFmtId="0" fontId="32" fillId="0" borderId="30" xfId="0" applyNumberFormat="1" applyFont="1" applyFill="1" applyBorder="1" applyAlignment="1">
      <alignment horizontal="center"/>
    </xf>
    <xf numFmtId="0" fontId="9" fillId="0" borderId="50" xfId="0" applyNumberFormat="1" applyFont="1" applyFill="1" applyBorder="1" applyAlignment="1">
      <alignment horizontal="left"/>
    </xf>
    <xf numFmtId="0" fontId="12" fillId="0" borderId="44" xfId="0" applyNumberFormat="1" applyFont="1" applyFill="1" applyBorder="1" applyAlignment="1">
      <alignment horizontal="left"/>
    </xf>
    <xf numFmtId="0" fontId="32" fillId="0" borderId="43" xfId="0" applyNumberFormat="1" applyFont="1" applyFill="1" applyBorder="1" applyAlignment="1">
      <alignment horizontal="left"/>
    </xf>
    <xf numFmtId="0" fontId="32" fillId="0" borderId="4" xfId="0" applyNumberFormat="1" applyFont="1" applyFill="1" applyBorder="1" applyAlignment="1">
      <alignment horizontal="left"/>
    </xf>
    <xf numFmtId="0" fontId="32" fillId="0" borderId="41" xfId="0" applyNumberFormat="1" applyFont="1" applyFill="1" applyBorder="1" applyAlignment="1">
      <alignment horizontal="right"/>
    </xf>
    <xf numFmtId="43" fontId="32" fillId="0" borderId="45" xfId="1" applyFont="1" applyFill="1" applyBorder="1" applyAlignment="1">
      <alignment horizontal="left"/>
    </xf>
    <xf numFmtId="43" fontId="23" fillId="0" borderId="45" xfId="1" applyFont="1" applyFill="1" applyBorder="1" applyAlignment="1"/>
    <xf numFmtId="43" fontId="23" fillId="0" borderId="43" xfId="1" applyFont="1" applyFill="1" applyBorder="1" applyAlignment="1"/>
    <xf numFmtId="165" fontId="23" fillId="0" borderId="49" xfId="1" applyNumberFormat="1" applyFont="1" applyFill="1" applyBorder="1" applyAlignment="1"/>
    <xf numFmtId="14" fontId="23" fillId="0" borderId="4" xfId="0" applyNumberFormat="1" applyFont="1" applyFill="1" applyBorder="1" applyAlignment="1">
      <alignment horizontal="left"/>
    </xf>
    <xf numFmtId="39" fontId="30" fillId="0" borderId="2" xfId="0" applyNumberFormat="1" applyFont="1" applyFill="1" applyBorder="1" applyAlignment="1">
      <alignment horizontal="right"/>
    </xf>
    <xf numFmtId="43" fontId="23" fillId="0" borderId="4" xfId="1" applyFont="1" applyFill="1" applyBorder="1" applyAlignment="1">
      <alignment horizontal="right"/>
    </xf>
    <xf numFmtId="43" fontId="23" fillId="0" borderId="2" xfId="1" applyFont="1" applyFill="1" applyBorder="1" applyAlignment="1">
      <alignment horizontal="right"/>
    </xf>
    <xf numFmtId="39" fontId="23" fillId="0" borderId="3" xfId="1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4" fontId="23" fillId="0" borderId="29" xfId="0" applyNumberFormat="1" applyFont="1" applyFill="1" applyBorder="1" applyAlignment="1">
      <alignment horizontal="center"/>
    </xf>
    <xf numFmtId="43" fontId="23" fillId="0" borderId="0" xfId="1" applyFont="1" applyFill="1" applyBorder="1" applyAlignment="1">
      <alignment horizontal="right"/>
    </xf>
    <xf numFmtId="39" fontId="23" fillId="0" borderId="2" xfId="0" applyNumberFormat="1" applyFont="1" applyFill="1" applyBorder="1" applyAlignment="1">
      <alignment horizontal="right"/>
    </xf>
    <xf numFmtId="39" fontId="23" fillId="0" borderId="51" xfId="0" applyNumberFormat="1" applyFont="1" applyFill="1" applyBorder="1" applyAlignment="1">
      <alignment horizontal="right"/>
    </xf>
    <xf numFmtId="43" fontId="23" fillId="0" borderId="35" xfId="1" applyFont="1" applyFill="1" applyBorder="1" applyAlignment="1">
      <alignment horizontal="right"/>
    </xf>
    <xf numFmtId="0" fontId="13" fillId="0" borderId="19" xfId="0" applyNumberFormat="1" applyFont="1" applyFill="1" applyBorder="1" applyAlignment="1">
      <alignment horizontal="left"/>
    </xf>
    <xf numFmtId="0" fontId="14" fillId="0" borderId="20" xfId="0" applyNumberFormat="1" applyFont="1" applyFill="1" applyBorder="1" applyAlignment="1">
      <alignment horizontal="left"/>
    </xf>
    <xf numFmtId="14" fontId="33" fillId="0" borderId="31" xfId="0" applyNumberFormat="1" applyFont="1" applyFill="1" applyBorder="1" applyAlignment="1">
      <alignment horizontal="center"/>
    </xf>
    <xf numFmtId="14" fontId="33" fillId="0" borderId="47" xfId="0" applyNumberFormat="1" applyFont="1" applyFill="1" applyBorder="1" applyAlignment="1">
      <alignment horizontal="left"/>
    </xf>
    <xf numFmtId="39" fontId="33" fillId="0" borderId="52" xfId="0" applyNumberFormat="1" applyFont="1" applyFill="1" applyBorder="1" applyAlignment="1">
      <alignment horizontal="right"/>
    </xf>
    <xf numFmtId="43" fontId="33" fillId="0" borderId="52" xfId="1" applyFont="1" applyFill="1" applyBorder="1" applyAlignment="1">
      <alignment horizontal="right"/>
    </xf>
    <xf numFmtId="39" fontId="33" fillId="0" borderId="53" xfId="0" applyNumberFormat="1" applyFont="1" applyFill="1" applyBorder="1" applyAlignment="1">
      <alignment horizontal="right"/>
    </xf>
    <xf numFmtId="0" fontId="4" fillId="0" borderId="0" xfId="0" applyFont="1"/>
    <xf numFmtId="43" fontId="4" fillId="0" borderId="0" xfId="1" applyFont="1"/>
    <xf numFmtId="39" fontId="4" fillId="0" borderId="0" xfId="0" applyNumberFormat="1" applyFont="1"/>
    <xf numFmtId="0" fontId="31" fillId="0" borderId="26" xfId="0" applyNumberFormat="1" applyFont="1" applyFill="1" applyBorder="1" applyAlignment="1">
      <alignment horizontal="center"/>
    </xf>
    <xf numFmtId="0" fontId="31" fillId="0" borderId="27" xfId="0" applyNumberFormat="1" applyFont="1" applyFill="1" applyBorder="1" applyAlignment="1">
      <alignment horizontal="center"/>
    </xf>
    <xf numFmtId="0" fontId="31" fillId="0" borderId="28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Continuous"/>
    </xf>
    <xf numFmtId="0" fontId="31" fillId="0" borderId="29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>
      <alignment horizontal="center"/>
    </xf>
    <xf numFmtId="43" fontId="12" fillId="0" borderId="45" xfId="1" applyFont="1" applyFill="1" applyBorder="1" applyAlignment="1">
      <alignment horizontal="center"/>
    </xf>
    <xf numFmtId="43" fontId="12" fillId="0" borderId="43" xfId="1" applyFont="1" applyFill="1" applyBorder="1" applyAlignment="1">
      <alignment horizontal="center"/>
    </xf>
    <xf numFmtId="0" fontId="12" fillId="0" borderId="49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29" xfId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/>
    </xf>
    <xf numFmtId="0" fontId="12" fillId="0" borderId="43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left"/>
    </xf>
    <xf numFmtId="0" fontId="9" fillId="0" borderId="41" xfId="0" applyNumberFormat="1" applyFont="1" applyFill="1" applyBorder="1" applyAlignment="1">
      <alignment horizontal="right"/>
    </xf>
    <xf numFmtId="43" fontId="12" fillId="0" borderId="45" xfId="1" applyFont="1" applyFill="1" applyBorder="1" applyAlignment="1">
      <alignment horizontal="left"/>
    </xf>
    <xf numFmtId="43" fontId="9" fillId="0" borderId="45" xfId="1" applyFont="1" applyFill="1" applyBorder="1" applyAlignment="1"/>
    <xf numFmtId="43" fontId="9" fillId="0" borderId="43" xfId="1" applyFont="1" applyFill="1" applyBorder="1" applyAlignment="1"/>
    <xf numFmtId="165" fontId="9" fillId="0" borderId="49" xfId="1" applyNumberFormat="1" applyFont="1" applyFill="1" applyBorder="1" applyAlignment="1"/>
    <xf numFmtId="0" fontId="9" fillId="0" borderId="2" xfId="0" applyNumberFormat="1" applyFont="1" applyFill="1" applyBorder="1" applyAlignment="1">
      <alignment horizontal="left" wrapText="1"/>
    </xf>
    <xf numFmtId="167" fontId="9" fillId="0" borderId="29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9" fillId="0" borderId="4" xfId="0" applyNumberFormat="1" applyFont="1" applyFill="1" applyBorder="1" applyAlignment="1">
      <alignment horizontal="left"/>
    </xf>
    <xf numFmtId="43" fontId="9" fillId="0" borderId="4" xfId="1" applyFont="1" applyFill="1" applyBorder="1" applyAlignment="1">
      <alignment horizontal="right"/>
    </xf>
    <xf numFmtId="39" fontId="9" fillId="0" borderId="3" xfId="1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left"/>
    </xf>
    <xf numFmtId="166" fontId="9" fillId="0" borderId="29" xfId="0" applyNumberFormat="1" applyFont="1" applyFill="1" applyBorder="1" applyAlignment="1">
      <alignment horizontal="center"/>
    </xf>
    <xf numFmtId="14" fontId="9" fillId="0" borderId="4" xfId="0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39" fontId="9" fillId="0" borderId="4" xfId="0" applyNumberFormat="1" applyFont="1" applyFill="1" applyBorder="1" applyAlignment="1">
      <alignment horizontal="right"/>
    </xf>
    <xf numFmtId="14" fontId="9" fillId="0" borderId="29" xfId="0" applyNumberFormat="1" applyFont="1" applyFill="1" applyBorder="1" applyAlignment="1">
      <alignment horizontal="center"/>
    </xf>
    <xf numFmtId="39" fontId="9" fillId="0" borderId="51" xfId="0" applyNumberFormat="1" applyFont="1" applyFill="1" applyBorder="1" applyAlignment="1">
      <alignment horizontal="right"/>
    </xf>
    <xf numFmtId="43" fontId="9" fillId="0" borderId="35" xfId="1" applyFont="1" applyFill="1" applyBorder="1" applyAlignment="1">
      <alignment horizontal="right"/>
    </xf>
    <xf numFmtId="14" fontId="14" fillId="0" borderId="31" xfId="0" applyNumberFormat="1" applyFont="1" applyFill="1" applyBorder="1" applyAlignment="1">
      <alignment horizontal="center"/>
    </xf>
    <xf numFmtId="14" fontId="14" fillId="0" borderId="47" xfId="0" applyNumberFormat="1" applyFont="1" applyFill="1" applyBorder="1" applyAlignment="1">
      <alignment horizontal="left"/>
    </xf>
    <xf numFmtId="43" fontId="21" fillId="0" borderId="52" xfId="1" applyFont="1" applyFill="1" applyBorder="1" applyAlignment="1">
      <alignment horizontal="right"/>
    </xf>
    <xf numFmtId="39" fontId="14" fillId="0" borderId="53" xfId="0" applyNumberFormat="1" applyFont="1" applyFill="1" applyBorder="1" applyAlignment="1">
      <alignment horizontal="right"/>
    </xf>
    <xf numFmtId="43" fontId="12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right"/>
    </xf>
    <xf numFmtId="43" fontId="12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left"/>
    </xf>
    <xf numFmtId="39" fontId="9" fillId="0" borderId="30" xfId="1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left"/>
    </xf>
    <xf numFmtId="0" fontId="12" fillId="0" borderId="29" xfId="0" applyNumberFormat="1" applyFont="1" applyFill="1" applyBorder="1" applyAlignment="1">
      <alignment horizontal="left"/>
    </xf>
    <xf numFmtId="43" fontId="9" fillId="0" borderId="29" xfId="1" applyFont="1" applyFill="1" applyBorder="1" applyAlignment="1">
      <alignment horizontal="right"/>
    </xf>
    <xf numFmtId="43" fontId="9" fillId="0" borderId="29" xfId="1" applyFont="1" applyBorder="1"/>
    <xf numFmtId="43" fontId="9" fillId="0" borderId="4" xfId="1" applyFont="1" applyBorder="1"/>
    <xf numFmtId="0" fontId="12" fillId="0" borderId="0" xfId="0" applyNumberFormat="1" applyFont="1" applyFill="1" applyBorder="1" applyAlignment="1">
      <alignment horizontal="right"/>
    </xf>
    <xf numFmtId="43" fontId="14" fillId="0" borderId="52" xfId="1" applyFont="1" applyFill="1" applyBorder="1" applyAlignment="1">
      <alignment horizontal="right"/>
    </xf>
    <xf numFmtId="0" fontId="1" fillId="0" borderId="0" xfId="0" applyFont="1"/>
    <xf numFmtId="0" fontId="9" fillId="0" borderId="18" xfId="0" applyNumberFormat="1" applyFont="1" applyFill="1" applyBorder="1" applyAlignment="1">
      <alignment horizontal="left" vertical="top"/>
    </xf>
    <xf numFmtId="39" fontId="0" fillId="0" borderId="0" xfId="1" applyNumberFormat="1" applyFont="1" applyFill="1" applyBorder="1" applyAlignment="1">
      <alignment horizontal="right"/>
    </xf>
    <xf numFmtId="43" fontId="20" fillId="0" borderId="12" xfId="0" applyNumberFormat="1" applyFont="1" applyBorder="1"/>
    <xf numFmtId="0" fontId="1" fillId="0" borderId="4" xfId="0" quotePrefix="1" applyFont="1" applyBorder="1" applyAlignment="1">
      <alignment horizontal="center"/>
    </xf>
    <xf numFmtId="4" fontId="28" fillId="0" borderId="0" xfId="1" applyNumberFormat="1" applyFont="1" applyBorder="1"/>
    <xf numFmtId="0" fontId="1" fillId="0" borderId="0" xfId="0" applyFont="1" applyBorder="1"/>
    <xf numFmtId="43" fontId="1" fillId="0" borderId="0" xfId="1" applyFont="1"/>
    <xf numFmtId="0" fontId="1" fillId="0" borderId="27" xfId="0" applyFont="1" applyFill="1" applyBorder="1"/>
    <xf numFmtId="0" fontId="1" fillId="0" borderId="3" xfId="0" applyFont="1" applyFill="1" applyBorder="1"/>
    <xf numFmtId="0" fontId="1" fillId="0" borderId="21" xfId="0" applyFont="1" applyFill="1" applyBorder="1"/>
    <xf numFmtId="0" fontId="25" fillId="0" borderId="0" xfId="0" applyNumberFormat="1" applyFont="1" applyFill="1" applyBorder="1" applyAlignment="1"/>
    <xf numFmtId="43" fontId="15" fillId="0" borderId="0" xfId="1" applyFont="1" applyAlignment="1"/>
    <xf numFmtId="1" fontId="7" fillId="0" borderId="0" xfId="1" applyNumberFormat="1" applyFont="1" applyAlignment="1"/>
    <xf numFmtId="43" fontId="7" fillId="0" borderId="0" xfId="1" applyFont="1" applyAlignment="1"/>
    <xf numFmtId="0" fontId="2" fillId="0" borderId="29" xfId="0" applyFont="1" applyFill="1" applyBorder="1"/>
    <xf numFmtId="49" fontId="1" fillId="0" borderId="4" xfId="0" quotePrefix="1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3" fontId="1" fillId="0" borderId="20" xfId="1" applyFont="1" applyFill="1" applyBorder="1"/>
    <xf numFmtId="0" fontId="2" fillId="0" borderId="46" xfId="0" applyFont="1" applyFill="1" applyBorder="1" applyAlignment="1">
      <alignment horizontal="center"/>
    </xf>
    <xf numFmtId="43" fontId="2" fillId="0" borderId="27" xfId="1" applyFont="1" applyFill="1" applyBorder="1"/>
    <xf numFmtId="39" fontId="2" fillId="0" borderId="4" xfId="1" applyNumberFormat="1" applyFont="1" applyFill="1" applyBorder="1"/>
    <xf numFmtId="4" fontId="2" fillId="0" borderId="40" xfId="1" applyNumberFormat="1" applyFont="1" applyFill="1" applyBorder="1"/>
    <xf numFmtId="39" fontId="1" fillId="0" borderId="12" xfId="0" applyNumberFormat="1" applyFont="1" applyBorder="1"/>
    <xf numFmtId="43" fontId="1" fillId="0" borderId="0" xfId="1" applyFont="1" applyBorder="1"/>
    <xf numFmtId="0" fontId="28" fillId="0" borderId="51" xfId="0" applyFont="1" applyBorder="1"/>
    <xf numFmtId="43" fontId="28" fillId="0" borderId="35" xfId="1" applyFont="1" applyBorder="1" applyAlignment="1">
      <alignment horizontal="center"/>
    </xf>
    <xf numFmtId="43" fontId="1" fillId="0" borderId="12" xfId="1" applyFont="1" applyBorder="1"/>
    <xf numFmtId="0" fontId="10" fillId="0" borderId="0" xfId="0" applyFont="1" applyFill="1" applyBorder="1"/>
    <xf numFmtId="43" fontId="10" fillId="0" borderId="0" xfId="1" applyFont="1" applyFill="1" applyBorder="1"/>
    <xf numFmtId="49" fontId="7" fillId="0" borderId="4" xfId="0" applyNumberFormat="1" applyFont="1" applyBorder="1" applyAlignment="1">
      <alignment horizontal="center"/>
    </xf>
    <xf numFmtId="0" fontId="18" fillId="0" borderId="29" xfId="0" applyFont="1" applyBorder="1"/>
    <xf numFmtId="14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39" fontId="1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49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1" fontId="7" fillId="0" borderId="0" xfId="0" applyNumberFormat="1" applyFont="1" applyAlignment="1"/>
    <xf numFmtId="1" fontId="0" fillId="0" borderId="0" xfId="0" applyNumberFormat="1" applyBorder="1"/>
    <xf numFmtId="1" fontId="14" fillId="0" borderId="0" xfId="0" applyNumberFormat="1" applyFont="1" applyAlignment="1">
      <alignment horizontal="center"/>
    </xf>
    <xf numFmtId="0" fontId="10" fillId="2" borderId="6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60" xfId="0" applyFont="1" applyBorder="1"/>
    <xf numFmtId="0" fontId="1" fillId="0" borderId="6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3" fontId="1" fillId="0" borderId="42" xfId="1" applyFont="1" applyBorder="1"/>
    <xf numFmtId="43" fontId="29" fillId="0" borderId="0" xfId="1" applyFont="1" applyBorder="1"/>
    <xf numFmtId="43" fontId="1" fillId="0" borderId="0" xfId="0" applyNumberFormat="1" applyFont="1" applyBorder="1"/>
    <xf numFmtId="0" fontId="1" fillId="0" borderId="35" xfId="0" applyFont="1" applyBorder="1" applyAlignment="1">
      <alignment horizontal="left"/>
    </xf>
    <xf numFmtId="0" fontId="1" fillId="0" borderId="42" xfId="1" applyNumberFormat="1" applyFont="1" applyBorder="1" applyAlignment="1">
      <alignment horizontal="center"/>
    </xf>
    <xf numFmtId="43" fontId="1" fillId="0" borderId="0" xfId="1" applyBorder="1"/>
    <xf numFmtId="43" fontId="10" fillId="0" borderId="0" xfId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3" fontId="1" fillId="0" borderId="4" xfId="1" applyFont="1" applyBorder="1"/>
    <xf numFmtId="0" fontId="10" fillId="0" borderId="40" xfId="0" applyFont="1" applyBorder="1"/>
    <xf numFmtId="0" fontId="10" fillId="0" borderId="40" xfId="0" applyFont="1" applyFill="1" applyBorder="1" applyAlignment="1">
      <alignment horizontal="center"/>
    </xf>
    <xf numFmtId="43" fontId="10" fillId="0" borderId="40" xfId="0" applyNumberFormat="1" applyFont="1" applyBorder="1"/>
    <xf numFmtId="43" fontId="10" fillId="0" borderId="0" xfId="0" applyNumberFormat="1" applyFont="1" applyBorder="1"/>
    <xf numFmtId="0" fontId="7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7" fillId="0" borderId="0" xfId="0" applyFont="1" applyFill="1" applyBorder="1" applyAlignment="1"/>
    <xf numFmtId="49" fontId="0" fillId="0" borderId="0" xfId="0" applyNumberForma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9" fillId="0" borderId="0" xfId="0" applyFont="1"/>
    <xf numFmtId="0" fontId="33" fillId="0" borderId="0" xfId="0" applyFont="1"/>
    <xf numFmtId="0" fontId="1" fillId="0" borderId="29" xfId="0" applyFont="1" applyBorder="1"/>
    <xf numFmtId="39" fontId="7" fillId="0" borderId="0" xfId="1" applyNumberFormat="1" applyFont="1" applyFill="1" applyBorder="1" applyAlignment="1">
      <alignment horizontal="center"/>
    </xf>
    <xf numFmtId="0" fontId="5" fillId="0" borderId="18" xfId="0" applyFont="1" applyBorder="1"/>
    <xf numFmtId="43" fontId="5" fillId="0" borderId="3" xfId="1" applyFont="1" applyBorder="1"/>
    <xf numFmtId="0" fontId="5" fillId="0" borderId="0" xfId="0" applyFont="1" applyBorder="1"/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43" fontId="1" fillId="0" borderId="3" xfId="1" applyFont="1" applyBorder="1"/>
    <xf numFmtId="43" fontId="0" fillId="0" borderId="4" xfId="1" applyFont="1" applyBorder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39" fontId="0" fillId="0" borderId="0" xfId="1" applyNumberFormat="1" applyFont="1" applyFill="1" applyAlignment="1">
      <alignment horizontal="right"/>
    </xf>
    <xf numFmtId="39" fontId="0" fillId="0" borderId="0" xfId="1" applyNumberFormat="1" applyFont="1" applyFill="1"/>
    <xf numFmtId="0" fontId="3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39" fontId="7" fillId="0" borderId="0" xfId="1" applyNumberFormat="1" applyFont="1" applyFill="1" applyAlignment="1">
      <alignment horizontal="center"/>
    </xf>
    <xf numFmtId="39" fontId="7" fillId="0" borderId="0" xfId="1" applyNumberFormat="1" applyFont="1" applyFill="1" applyAlignment="1">
      <alignment horizontal="right"/>
    </xf>
    <xf numFmtId="39" fontId="1" fillId="0" borderId="0" xfId="0" applyNumberFormat="1" applyFont="1" applyFill="1" applyBorder="1"/>
    <xf numFmtId="1" fontId="7" fillId="0" borderId="0" xfId="1" applyNumberFormat="1" applyFont="1" applyAlignment="1">
      <alignment horizontal="center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1" fontId="7" fillId="0" borderId="0" xfId="1" applyNumberFormat="1" applyFont="1" applyAlignment="1">
      <alignment horizontal="right"/>
    </xf>
    <xf numFmtId="43" fontId="7" fillId="0" borderId="64" xfId="1" applyFont="1" applyBorder="1" applyAlignment="1">
      <alignment horizontal="center"/>
    </xf>
    <xf numFmtId="43" fontId="7" fillId="0" borderId="65" xfId="1" applyFont="1" applyBorder="1" applyAlignment="1">
      <alignment horizontal="center"/>
    </xf>
    <xf numFmtId="0" fontId="7" fillId="0" borderId="42" xfId="1" applyNumberFormat="1" applyFont="1" applyBorder="1" applyAlignment="1">
      <alignment horizontal="center"/>
    </xf>
    <xf numFmtId="0" fontId="7" fillId="0" borderId="39" xfId="0" applyFont="1" applyBorder="1"/>
    <xf numFmtId="0" fontId="7" fillId="0" borderId="1" xfId="0" applyFont="1" applyBorder="1"/>
    <xf numFmtId="0" fontId="0" fillId="0" borderId="51" xfId="0" applyBorder="1"/>
    <xf numFmtId="43" fontId="0" fillId="0" borderId="35" xfId="1" applyFont="1" applyBorder="1"/>
    <xf numFmtId="43" fontId="0" fillId="0" borderId="2" xfId="1" applyFont="1" applyBorder="1"/>
    <xf numFmtId="0" fontId="0" fillId="0" borderId="29" xfId="0" applyFill="1" applyBorder="1"/>
    <xf numFmtId="0" fontId="7" fillId="0" borderId="0" xfId="0" applyFont="1" applyFill="1" applyBorder="1"/>
    <xf numFmtId="43" fontId="0" fillId="0" borderId="2" xfId="1" applyFont="1" applyFill="1" applyBorder="1"/>
    <xf numFmtId="39" fontId="0" fillId="0" borderId="29" xfId="0" applyNumberFormat="1" applyFill="1" applyBorder="1"/>
    <xf numFmtId="39" fontId="0" fillId="0" borderId="2" xfId="1" applyNumberFormat="1" applyFont="1" applyFill="1" applyBorder="1"/>
    <xf numFmtId="39" fontId="7" fillId="0" borderId="29" xfId="0" applyNumberFormat="1" applyFont="1" applyFill="1" applyBorder="1"/>
    <xf numFmtId="39" fontId="4" fillId="0" borderId="0" xfId="0" applyNumberFormat="1" applyFont="1" applyFill="1" applyBorder="1"/>
    <xf numFmtId="0" fontId="0" fillId="0" borderId="29" xfId="0" applyBorder="1"/>
    <xf numFmtId="43" fontId="0" fillId="0" borderId="2" xfId="1" applyFont="1" applyFill="1" applyBorder="1" applyAlignment="1"/>
    <xf numFmtId="39" fontId="7" fillId="0" borderId="29" xfId="1" applyNumberFormat="1" applyFont="1" applyFill="1" applyBorder="1" applyAlignment="1">
      <alignment horizontal="center"/>
    </xf>
    <xf numFmtId="39" fontId="7" fillId="0" borderId="2" xfId="1" applyNumberFormat="1" applyFont="1" applyFill="1" applyBorder="1" applyAlignment="1">
      <alignment horizontal="center"/>
    </xf>
    <xf numFmtId="39" fontId="7" fillId="0" borderId="2" xfId="1" applyNumberFormat="1" applyFont="1" applyFill="1" applyBorder="1"/>
    <xf numFmtId="39" fontId="7" fillId="0" borderId="29" xfId="0" applyNumberFormat="1" applyFont="1" applyBorder="1"/>
    <xf numFmtId="39" fontId="0" fillId="0" borderId="29" xfId="0" applyNumberFormat="1" applyBorder="1"/>
    <xf numFmtId="39" fontId="7" fillId="0" borderId="39" xfId="0" applyNumberFormat="1" applyFont="1" applyBorder="1"/>
    <xf numFmtId="39" fontId="0" fillId="0" borderId="1" xfId="0" applyNumberFormat="1" applyBorder="1"/>
    <xf numFmtId="43" fontId="0" fillId="0" borderId="45" xfId="1" applyFont="1" applyBorder="1"/>
    <xf numFmtId="43" fontId="0" fillId="0" borderId="4" xfId="1" applyFont="1" applyFill="1" applyBorder="1"/>
    <xf numFmtId="43" fontId="2" fillId="0" borderId="4" xfId="1" applyFont="1" applyFill="1" applyBorder="1"/>
    <xf numFmtId="43" fontId="0" fillId="0" borderId="42" xfId="1" applyFont="1" applyFill="1" applyBorder="1"/>
    <xf numFmtId="39" fontId="0" fillId="0" borderId="4" xfId="1" applyNumberFormat="1" applyFont="1" applyFill="1" applyBorder="1"/>
    <xf numFmtId="39" fontId="0" fillId="0" borderId="42" xfId="1" applyNumberFormat="1" applyFont="1" applyFill="1" applyBorder="1"/>
    <xf numFmtId="0" fontId="0" fillId="0" borderId="4" xfId="0" applyBorder="1"/>
    <xf numFmtId="43" fontId="0" fillId="0" borderId="42" xfId="0" applyNumberFormat="1" applyBorder="1"/>
    <xf numFmtId="39" fontId="0" fillId="0" borderId="45" xfId="1" applyNumberFormat="1" applyFont="1" applyFill="1" applyBorder="1"/>
    <xf numFmtId="43" fontId="1" fillId="0" borderId="42" xfId="1" applyFont="1" applyFill="1" applyBorder="1"/>
    <xf numFmtId="43" fontId="4" fillId="0" borderId="4" xfId="1" applyFont="1" applyBorder="1"/>
    <xf numFmtId="39" fontId="37" fillId="0" borderId="42" xfId="1" applyNumberFormat="1" applyFont="1" applyFill="1" applyBorder="1"/>
    <xf numFmtId="39" fontId="37" fillId="0" borderId="4" xfId="1" applyNumberFormat="1" applyFont="1" applyFill="1" applyBorder="1"/>
    <xf numFmtId="43" fontId="5" fillId="0" borderId="42" xfId="0" applyNumberFormat="1" applyFont="1" applyBorder="1" applyAlignment="1">
      <alignment wrapText="1"/>
    </xf>
    <xf numFmtId="39" fontId="7" fillId="0" borderId="35" xfId="1" applyNumberFormat="1" applyFont="1" applyFill="1" applyBorder="1"/>
    <xf numFmtId="43" fontId="5" fillId="0" borderId="4" xfId="0" applyNumberFormat="1" applyFont="1" applyBorder="1" applyAlignment="1">
      <alignment wrapText="1"/>
    </xf>
    <xf numFmtId="39" fontId="7" fillId="0" borderId="66" xfId="1" applyNumberFormat="1" applyFont="1" applyFill="1" applyBorder="1"/>
    <xf numFmtId="39" fontId="7" fillId="0" borderId="4" xfId="1" applyNumberFormat="1" applyFont="1" applyFill="1" applyBorder="1" applyAlignment="1">
      <alignment horizontal="center"/>
    </xf>
    <xf numFmtId="39" fontId="7" fillId="0" borderId="42" xfId="1" applyNumberFormat="1" applyFont="1" applyFill="1" applyBorder="1"/>
    <xf numFmtId="39" fontId="7" fillId="0" borderId="42" xfId="1" applyNumberFormat="1" applyFont="1" applyBorder="1"/>
    <xf numFmtId="39" fontId="7" fillId="0" borderId="67" xfId="1" applyNumberFormat="1" applyFont="1" applyBorder="1"/>
    <xf numFmtId="0" fontId="0" fillId="0" borderId="41" xfId="0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44" xfId="0" applyNumberFormat="1" applyBorder="1" applyAlignment="1">
      <alignment horizontal="center"/>
    </xf>
    <xf numFmtId="0" fontId="0" fillId="0" borderId="43" xfId="0" applyBorder="1"/>
    <xf numFmtId="0" fontId="7" fillId="0" borderId="2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45" xfId="1" applyNumberFormat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7" fillId="0" borderId="42" xfId="1" applyFont="1" applyBorder="1" applyAlignment="1">
      <alignment horizontal="center"/>
    </xf>
    <xf numFmtId="43" fontId="0" fillId="0" borderId="42" xfId="1" applyFont="1" applyBorder="1" applyAlignment="1">
      <alignment horizontal="center"/>
    </xf>
    <xf numFmtId="43" fontId="7" fillId="0" borderId="35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0" fillId="0" borderId="35" xfId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/>
    <xf numFmtId="43" fontId="7" fillId="0" borderId="67" xfId="1" applyFont="1" applyBorder="1" applyAlignment="1">
      <alignment horizontal="center"/>
    </xf>
    <xf numFmtId="43" fontId="36" fillId="0" borderId="0" xfId="1" applyFont="1" applyAlignment="1"/>
    <xf numFmtId="43" fontId="0" fillId="0" borderId="65" xfId="1" applyFont="1" applyBorder="1"/>
    <xf numFmtId="0" fontId="1" fillId="0" borderId="1" xfId="0" applyFont="1" applyBorder="1"/>
    <xf numFmtId="43" fontId="0" fillId="0" borderId="42" xfId="1" applyFont="1" applyBorder="1"/>
    <xf numFmtId="43" fontId="0" fillId="0" borderId="67" xfId="1" applyFont="1" applyBorder="1"/>
    <xf numFmtId="0" fontId="4" fillId="0" borderId="68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2" xfId="0" quotePrefix="1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43" fontId="2" fillId="0" borderId="12" xfId="1" applyFont="1" applyBorder="1"/>
    <xf numFmtId="0" fontId="10" fillId="0" borderId="0" xfId="1" applyNumberFormat="1" applyFont="1" applyBorder="1"/>
    <xf numFmtId="0" fontId="1" fillId="0" borderId="12" xfId="0" applyFont="1" applyBorder="1"/>
    <xf numFmtId="43" fontId="28" fillId="0" borderId="0" xfId="1" applyNumberFormat="1" applyFont="1" applyBorder="1"/>
    <xf numFmtId="43" fontId="7" fillId="0" borderId="36" xfId="1" applyFont="1" applyBorder="1"/>
    <xf numFmtId="4" fontId="7" fillId="0" borderId="70" xfId="1" applyNumberFormat="1" applyFont="1" applyFill="1" applyBorder="1"/>
    <xf numFmtId="4" fontId="10" fillId="0" borderId="0" xfId="1" applyNumberFormat="1" applyFont="1" applyBorder="1"/>
    <xf numFmtId="0" fontId="9" fillId="0" borderId="0" xfId="0" applyFont="1" applyBorder="1" applyAlignment="1">
      <alignment horizontal="justify"/>
    </xf>
    <xf numFmtId="0" fontId="9" fillId="0" borderId="0" xfId="0" applyFont="1" applyBorder="1"/>
    <xf numFmtId="43" fontId="32" fillId="0" borderId="4" xfId="1" applyFont="1" applyFill="1" applyBorder="1" applyAlignment="1">
      <alignment horizontal="left"/>
    </xf>
    <xf numFmtId="43" fontId="32" fillId="0" borderId="0" xfId="1" applyFont="1" applyFill="1" applyBorder="1" applyAlignment="1">
      <alignment horizontal="center"/>
    </xf>
    <xf numFmtId="43" fontId="23" fillId="0" borderId="4" xfId="1" applyFont="1" applyFill="1" applyBorder="1" applyAlignment="1"/>
    <xf numFmtId="165" fontId="23" fillId="0" borderId="3" xfId="1" applyNumberFormat="1" applyFont="1" applyFill="1" applyBorder="1" applyAlignment="1"/>
    <xf numFmtId="0" fontId="38" fillId="0" borderId="3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0" fontId="32" fillId="0" borderId="4" xfId="1" applyNumberFormat="1" applyFont="1" applyFill="1" applyBorder="1" applyAlignment="1">
      <alignment horizontal="left"/>
    </xf>
    <xf numFmtId="17" fontId="32" fillId="0" borderId="4" xfId="0" applyNumberFormat="1" applyFont="1" applyFill="1" applyBorder="1" applyAlignment="1">
      <alignment horizontal="left"/>
    </xf>
    <xf numFmtId="43" fontId="33" fillId="0" borderId="52" xfId="0" applyNumberFormat="1" applyFont="1" applyFill="1" applyBorder="1" applyAlignment="1">
      <alignment horizontal="left"/>
    </xf>
    <xf numFmtId="14" fontId="23" fillId="0" borderId="35" xfId="0" applyNumberFormat="1" applyFont="1" applyFill="1" applyBorder="1" applyAlignment="1">
      <alignment horizontal="left"/>
    </xf>
    <xf numFmtId="4" fontId="0" fillId="0" borderId="29" xfId="0" applyNumberFormat="1" applyBorder="1"/>
    <xf numFmtId="4" fontId="0" fillId="0" borderId="2" xfId="0" applyNumberFormat="1" applyBorder="1"/>
    <xf numFmtId="43" fontId="0" fillId="0" borderId="29" xfId="1" applyFont="1" applyBorder="1"/>
    <xf numFmtId="43" fontId="0" fillId="0" borderId="64" xfId="1" applyFont="1" applyBorder="1"/>
    <xf numFmtId="0" fontId="0" fillId="0" borderId="39" xfId="0" applyBorder="1"/>
    <xf numFmtId="43" fontId="0" fillId="0" borderId="1" xfId="1" applyNumberFormat="1" applyFont="1" applyBorder="1"/>
    <xf numFmtId="4" fontId="1" fillId="0" borderId="0" xfId="0" applyNumberFormat="1" applyFont="1"/>
    <xf numFmtId="0" fontId="28" fillId="0" borderId="1" xfId="0" applyFont="1" applyFill="1" applyBorder="1"/>
    <xf numFmtId="0" fontId="17" fillId="0" borderId="35" xfId="0" applyFont="1" applyBorder="1" applyAlignment="1">
      <alignment horizontal="center"/>
    </xf>
    <xf numFmtId="43" fontId="28" fillId="0" borderId="2" xfId="1" applyFont="1" applyBorder="1" applyAlignment="1">
      <alignment horizontal="center"/>
    </xf>
    <xf numFmtId="14" fontId="4" fillId="0" borderId="4" xfId="0" applyNumberFormat="1" applyFont="1" applyFill="1" applyBorder="1" applyAlignment="1">
      <alignment horizontal="left"/>
    </xf>
    <xf numFmtId="166" fontId="27" fillId="0" borderId="4" xfId="0" quotePrefix="1" applyNumberFormat="1" applyFont="1" applyBorder="1" applyAlignment="1">
      <alignment horizontal="center"/>
    </xf>
    <xf numFmtId="167" fontId="27" fillId="0" borderId="4" xfId="0" applyNumberFormat="1" applyFont="1" applyBorder="1"/>
    <xf numFmtId="167" fontId="27" fillId="0" borderId="4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0" fillId="0" borderId="39" xfId="0" applyNumberFormat="1" applyBorder="1"/>
    <xf numFmtId="43" fontId="28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19" fillId="0" borderId="12" xfId="1" applyFont="1" applyBorder="1"/>
    <xf numFmtId="166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top"/>
    </xf>
    <xf numFmtId="167" fontId="27" fillId="0" borderId="4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43" fontId="18" fillId="0" borderId="12" xfId="1" applyFont="1" applyBorder="1" applyAlignment="1">
      <alignment vertical="top"/>
    </xf>
    <xf numFmtId="43" fontId="18" fillId="0" borderId="0" xfId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43" fontId="29" fillId="0" borderId="0" xfId="1" applyFont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40" fillId="0" borderId="10" xfId="0" applyFont="1" applyBorder="1"/>
    <xf numFmtId="0" fontId="19" fillId="0" borderId="15" xfId="0" applyFont="1" applyFill="1" applyBorder="1"/>
    <xf numFmtId="0" fontId="12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Fill="1" applyBorder="1" applyAlignment="1">
      <alignment vertical="top"/>
    </xf>
    <xf numFmtId="167" fontId="27" fillId="0" borderId="4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3" fontId="18" fillId="0" borderId="12" xfId="1" applyFont="1" applyFill="1" applyBorder="1" applyAlignment="1">
      <alignment vertical="top"/>
    </xf>
    <xf numFmtId="49" fontId="7" fillId="0" borderId="4" xfId="0" quotePrefix="1" applyNumberFormat="1" applyFont="1" applyBorder="1" applyAlignment="1">
      <alignment horizontal="center"/>
    </xf>
    <xf numFmtId="43" fontId="0" fillId="0" borderId="2" xfId="0" applyNumberFormat="1" applyBorder="1"/>
    <xf numFmtId="39" fontId="0" fillId="0" borderId="2" xfId="0" applyNumberFormat="1" applyBorder="1"/>
    <xf numFmtId="43" fontId="1" fillId="0" borderId="2" xfId="0" applyNumberFormat="1" applyFont="1" applyBorder="1"/>
    <xf numFmtId="43" fontId="7" fillId="0" borderId="2" xfId="1" applyFont="1" applyFill="1" applyBorder="1"/>
    <xf numFmtId="0" fontId="7" fillId="0" borderId="0" xfId="0" applyFont="1" applyAlignment="1">
      <alignment horizontal="center"/>
    </xf>
    <xf numFmtId="0" fontId="36" fillId="0" borderId="0" xfId="0" applyFont="1" applyAlignment="1"/>
    <xf numFmtId="43" fontId="0" fillId="0" borderId="0" xfId="0" applyNumberFormat="1" applyFill="1" applyBorder="1"/>
    <xf numFmtId="43" fontId="0" fillId="0" borderId="17" xfId="1" applyFont="1" applyBorder="1"/>
    <xf numFmtId="43" fontId="0" fillId="0" borderId="35" xfId="0" applyNumberFormat="1" applyBorder="1"/>
    <xf numFmtId="0" fontId="1" fillId="0" borderId="68" xfId="0" applyFont="1" applyFill="1" applyBorder="1"/>
    <xf numFmtId="4" fontId="1" fillId="0" borderId="69" xfId="1" applyNumberFormat="1" applyFont="1" applyFill="1" applyBorder="1"/>
    <xf numFmtId="4" fontId="1" fillId="0" borderId="73" xfId="1" applyNumberFormat="1" applyFont="1" applyFill="1" applyBorder="1"/>
    <xf numFmtId="43" fontId="29" fillId="0" borderId="12" xfId="1" applyFont="1" applyBorder="1" applyAlignment="1">
      <alignment vertical="top"/>
    </xf>
    <xf numFmtId="43" fontId="18" fillId="0" borderId="0" xfId="1" applyFont="1" applyAlignment="1">
      <alignment vertical="top"/>
    </xf>
    <xf numFmtId="1" fontId="28" fillId="0" borderId="0" xfId="0" applyNumberFormat="1" applyFont="1" applyBorder="1"/>
    <xf numFmtId="39" fontId="39" fillId="0" borderId="0" xfId="1" applyNumberFormat="1" applyFont="1" applyFill="1" applyBorder="1"/>
    <xf numFmtId="43" fontId="39" fillId="0" borderId="0" xfId="1" applyFont="1" applyFill="1" applyBorder="1"/>
    <xf numFmtId="43" fontId="28" fillId="0" borderId="0" xfId="1" applyFont="1" applyFill="1" applyBorder="1"/>
    <xf numFmtId="168" fontId="28" fillId="0" borderId="0" xfId="0" applyNumberFormat="1" applyFont="1" applyBorder="1"/>
    <xf numFmtId="4" fontId="1" fillId="0" borderId="0" xfId="1" applyNumberFormat="1" applyFont="1" applyBorder="1"/>
    <xf numFmtId="0" fontId="28" fillId="0" borderId="4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8" fillId="0" borderId="29" xfId="0" applyFont="1" applyFill="1" applyBorder="1"/>
    <xf numFmtId="0" fontId="1" fillId="0" borderId="29" xfId="0" applyFont="1" applyFill="1" applyBorder="1"/>
    <xf numFmtId="0" fontId="7" fillId="0" borderId="3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39" fontId="4" fillId="0" borderId="2" xfId="0" applyNumberFormat="1" applyFont="1" applyFill="1" applyBorder="1"/>
    <xf numFmtId="0" fontId="28" fillId="0" borderId="0" xfId="1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44" xfId="0" applyBorder="1"/>
    <xf numFmtId="9" fontId="1" fillId="0" borderId="0" xfId="0" applyNumberFormat="1" applyFont="1" applyFill="1" applyBorder="1"/>
    <xf numFmtId="0" fontId="4" fillId="0" borderId="29" xfId="0" applyFont="1" applyFill="1" applyBorder="1"/>
    <xf numFmtId="0" fontId="1" fillId="0" borderId="29" xfId="0" applyFont="1" applyFill="1" applyBorder="1" applyAlignment="1">
      <alignment horizontal="left"/>
    </xf>
    <xf numFmtId="43" fontId="7" fillId="0" borderId="70" xfId="1" applyFont="1" applyFill="1" applyBorder="1"/>
    <xf numFmtId="39" fontId="18" fillId="0" borderId="12" xfId="1" applyNumberFormat="1" applyFont="1" applyBorder="1" applyAlignment="1">
      <alignment vertical="top"/>
    </xf>
    <xf numFmtId="43" fontId="1" fillId="0" borderId="2" xfId="0" applyNumberFormat="1" applyFont="1" applyFill="1" applyBorder="1"/>
    <xf numFmtId="0" fontId="1" fillId="0" borderId="2" xfId="0" applyFont="1" applyBorder="1"/>
    <xf numFmtId="0" fontId="1" fillId="0" borderId="51" xfId="0" applyFont="1" applyFill="1" applyBorder="1"/>
    <xf numFmtId="0" fontId="29" fillId="0" borderId="0" xfId="0" applyFont="1" applyFill="1" applyBorder="1"/>
    <xf numFmtId="43" fontId="32" fillId="0" borderId="0" xfId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4" fontId="0" fillId="0" borderId="0" xfId="1" applyNumberFormat="1" applyFont="1" applyFill="1" applyBorder="1"/>
    <xf numFmtId="43" fontId="0" fillId="0" borderId="0" xfId="1" applyFont="1" applyBorder="1" applyAlignment="1"/>
    <xf numFmtId="43" fontId="0" fillId="0" borderId="8" xfId="0" applyNumberFormat="1" applyBorder="1"/>
    <xf numFmtId="0" fontId="0" fillId="0" borderId="0" xfId="0" applyFill="1" applyBorder="1" applyAlignment="1"/>
    <xf numFmtId="43" fontId="0" fillId="0" borderId="0" xfId="1" applyFont="1" applyFill="1" applyBorder="1" applyAlignment="1"/>
    <xf numFmtId="39" fontId="0" fillId="0" borderId="8" xfId="0" applyNumberFormat="1" applyBorder="1"/>
    <xf numFmtId="14" fontId="0" fillId="0" borderId="0" xfId="0" applyNumberFormat="1"/>
    <xf numFmtId="0" fontId="5" fillId="0" borderId="2" xfId="0" applyFont="1" applyFill="1" applyBorder="1" applyAlignment="1"/>
    <xf numFmtId="39" fontId="1" fillId="0" borderId="42" xfId="1" applyNumberFormat="1" applyFont="1" applyFill="1" applyBorder="1"/>
    <xf numFmtId="43" fontId="0" fillId="0" borderId="4" xfId="0" applyNumberFormat="1" applyBorder="1"/>
    <xf numFmtId="39" fontId="0" fillId="0" borderId="2" xfId="1" applyNumberFormat="1" applyFont="1" applyBorder="1"/>
    <xf numFmtId="0" fontId="0" fillId="0" borderId="2" xfId="1" applyNumberFormat="1" applyFont="1" applyFill="1" applyBorder="1"/>
    <xf numFmtId="43" fontId="0" fillId="0" borderId="29" xfId="0" applyNumberFormat="1" applyBorder="1"/>
    <xf numFmtId="49" fontId="1" fillId="0" borderId="35" xfId="0" quotePrefix="1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39" fontId="0" fillId="0" borderId="39" xfId="0" applyNumberFormat="1" applyFill="1" applyBorder="1"/>
    <xf numFmtId="39" fontId="7" fillId="0" borderId="1" xfId="0" applyNumberFormat="1" applyFont="1" applyFill="1" applyBorder="1"/>
    <xf numFmtId="0" fontId="4" fillId="0" borderId="1" xfId="0" applyFont="1" applyBorder="1"/>
    <xf numFmtId="4" fontId="5" fillId="0" borderId="12" xfId="1" applyNumberFormat="1" applyFont="1" applyFill="1" applyBorder="1"/>
    <xf numFmtId="4" fontId="5" fillId="0" borderId="11" xfId="1" applyNumberFormat="1" applyFont="1" applyFill="1" applyBorder="1"/>
    <xf numFmtId="4" fontId="1" fillId="0" borderId="12" xfId="1" applyNumberFormat="1" applyFont="1" applyBorder="1"/>
    <xf numFmtId="4" fontId="1" fillId="0" borderId="11" xfId="1" applyNumberFormat="1" applyFont="1" applyBorder="1"/>
    <xf numFmtId="4" fontId="1" fillId="0" borderId="3" xfId="1" applyNumberFormat="1" applyFont="1" applyBorder="1"/>
    <xf numFmtId="4" fontId="1" fillId="0" borderId="12" xfId="1" applyNumberFormat="1" applyFont="1" applyFill="1" applyBorder="1"/>
    <xf numFmtId="39" fontId="1" fillId="0" borderId="21" xfId="1" applyNumberFormat="1" applyFont="1" applyFill="1" applyBorder="1"/>
    <xf numFmtId="43" fontId="5" fillId="0" borderId="21" xfId="1" applyFont="1" applyFill="1" applyBorder="1"/>
    <xf numFmtId="49" fontId="2" fillId="0" borderId="35" xfId="0" applyNumberFormat="1" applyFont="1" applyBorder="1" applyAlignment="1">
      <alignment horizontal="center"/>
    </xf>
    <xf numFmtId="4" fontId="1" fillId="0" borderId="0" xfId="0" applyNumberFormat="1" applyFont="1" applyBorder="1"/>
    <xf numFmtId="9" fontId="28" fillId="0" borderId="1" xfId="0" applyNumberFormat="1" applyFont="1" applyBorder="1"/>
    <xf numFmtId="0" fontId="1" fillId="0" borderId="35" xfId="0" quotePrefix="1" applyFont="1" applyBorder="1" applyAlignment="1">
      <alignment horizontal="center"/>
    </xf>
    <xf numFmtId="4" fontId="0" fillId="0" borderId="0" xfId="1" applyNumberFormat="1" applyFont="1" applyBorder="1"/>
    <xf numFmtId="43" fontId="5" fillId="0" borderId="12" xfId="1" applyFont="1" applyFill="1" applyBorder="1"/>
    <xf numFmtId="43" fontId="5" fillId="0" borderId="12" xfId="1" applyFont="1" applyBorder="1"/>
    <xf numFmtId="43" fontId="7" fillId="0" borderId="38" xfId="1" applyFont="1" applyFill="1" applyBorder="1"/>
    <xf numFmtId="39" fontId="5" fillId="0" borderId="12" xfId="1" applyNumberFormat="1" applyFont="1" applyFill="1" applyBorder="1"/>
    <xf numFmtId="39" fontId="1" fillId="0" borderId="1" xfId="0" applyNumberFormat="1" applyFont="1" applyFill="1" applyBorder="1"/>
    <xf numFmtId="39" fontId="4" fillId="0" borderId="1" xfId="0" applyNumberFormat="1" applyFont="1" applyFill="1" applyBorder="1"/>
    <xf numFmtId="43" fontId="1" fillId="0" borderId="35" xfId="1" applyFont="1" applyFill="1" applyBorder="1"/>
    <xf numFmtId="0" fontId="28" fillId="0" borderId="35" xfId="0" quotePrefix="1" applyFont="1" applyBorder="1" applyAlignment="1">
      <alignment horizontal="center"/>
    </xf>
    <xf numFmtId="0" fontId="1" fillId="0" borderId="1" xfId="0" applyFont="1" applyFill="1" applyBorder="1"/>
    <xf numFmtId="49" fontId="28" fillId="0" borderId="35" xfId="0" applyNumberFormat="1" applyFont="1" applyBorder="1" applyAlignment="1">
      <alignment horizontal="center"/>
    </xf>
    <xf numFmtId="43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9" xfId="0" quotePrefix="1" applyFont="1" applyBorder="1"/>
    <xf numFmtId="0" fontId="7" fillId="0" borderId="4" xfId="0" applyFont="1" applyBorder="1"/>
    <xf numFmtId="43" fontId="28" fillId="0" borderId="1" xfId="1" applyFont="1" applyBorder="1" applyAlignment="1">
      <alignment horizontal="center"/>
    </xf>
    <xf numFmtId="43" fontId="28" fillId="0" borderId="51" xfId="1" applyFont="1" applyBorder="1" applyAlignment="1">
      <alignment horizontal="center"/>
    </xf>
    <xf numFmtId="0" fontId="28" fillId="0" borderId="2" xfId="0" quotePrefix="1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49" fontId="2" fillId="0" borderId="4" xfId="0" quotePrefix="1" applyNumberFormat="1" applyFont="1" applyBorder="1" applyAlignment="1">
      <alignment horizontal="center"/>
    </xf>
    <xf numFmtId="49" fontId="28" fillId="0" borderId="35" xfId="0" quotePrefix="1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19" xfId="0" applyFill="1" applyBorder="1"/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44" fontId="36" fillId="0" borderId="0" xfId="2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21" fillId="1" borderId="54" xfId="0" applyFont="1" applyFill="1" applyBorder="1" applyAlignment="1">
      <alignment horizontal="center" vertical="center" wrapText="1"/>
    </xf>
    <xf numFmtId="0" fontId="21" fillId="1" borderId="5" xfId="0" applyFont="1" applyFill="1" applyBorder="1" applyAlignment="1">
      <alignment horizontal="center" vertical="center" wrapText="1"/>
    </xf>
    <xf numFmtId="0" fontId="21" fillId="1" borderId="55" xfId="0" applyFont="1" applyFill="1" applyBorder="1" applyAlignment="1">
      <alignment horizontal="center" vertical="center" wrapText="1"/>
    </xf>
    <xf numFmtId="0" fontId="21" fillId="1" borderId="7" xfId="0" applyFont="1" applyFill="1" applyBorder="1" applyAlignment="1">
      <alignment horizontal="center" vertical="center" wrapText="1"/>
    </xf>
    <xf numFmtId="0" fontId="14" fillId="1" borderId="56" xfId="0" applyFont="1" applyFill="1" applyBorder="1" applyAlignment="1">
      <alignment horizontal="center" vertical="center" wrapText="1"/>
    </xf>
    <xf numFmtId="0" fontId="14" fillId="1" borderId="57" xfId="0" applyFont="1" applyFill="1" applyBorder="1" applyAlignment="1">
      <alignment horizontal="center" vertical="center" wrapText="1"/>
    </xf>
    <xf numFmtId="0" fontId="33" fillId="1" borderId="58" xfId="0" applyFont="1" applyFill="1" applyBorder="1" applyAlignment="1">
      <alignment horizontal="center" vertical="center" wrapText="1"/>
    </xf>
    <xf numFmtId="0" fontId="33" fillId="1" borderId="34" xfId="0" applyFont="1" applyFill="1" applyBorder="1" applyAlignment="1">
      <alignment horizontal="center" vertical="center" wrapText="1"/>
    </xf>
    <xf numFmtId="0" fontId="7" fillId="1" borderId="6" xfId="0" applyFont="1" applyFill="1" applyBorder="1" applyAlignment="1">
      <alignment horizontal="center" vertical="center" wrapText="1"/>
    </xf>
    <xf numFmtId="0" fontId="7" fillId="1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43" fontId="32" fillId="0" borderId="60" xfId="1" applyFont="1" applyFill="1" applyBorder="1" applyAlignment="1">
      <alignment horizontal="center"/>
    </xf>
    <xf numFmtId="43" fontId="32" fillId="0" borderId="61" xfId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3" fontId="12" fillId="0" borderId="60" xfId="1" applyFont="1" applyFill="1" applyBorder="1" applyAlignment="1">
      <alignment horizontal="center"/>
    </xf>
    <xf numFmtId="43" fontId="12" fillId="0" borderId="61" xfId="1" applyFont="1" applyFill="1" applyBorder="1" applyAlignment="1">
      <alignment horizontal="center"/>
    </xf>
    <xf numFmtId="0" fontId="38" fillId="0" borderId="27" xfId="0" applyNumberFormat="1" applyFont="1" applyFill="1" applyBorder="1" applyAlignment="1">
      <alignment horizontal="center"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0" fontId="38" fillId="0" borderId="35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center"/>
    </xf>
    <xf numFmtId="43" fontId="15" fillId="0" borderId="0" xfId="1" applyFont="1" applyAlignment="1">
      <alignment horizontal="center"/>
    </xf>
    <xf numFmtId="43" fontId="36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3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43" fontId="36" fillId="0" borderId="0" xfId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5" fontId="15" fillId="0" borderId="19" xfId="0" quotePrefix="1" applyNumberFormat="1" applyFont="1" applyBorder="1" applyAlignment="1">
      <alignment horizontal="center"/>
    </xf>
    <xf numFmtId="15" fontId="15" fillId="0" borderId="20" xfId="0" quotePrefix="1" applyNumberFormat="1" applyFont="1" applyBorder="1" applyAlignment="1">
      <alignment horizontal="center"/>
    </xf>
    <xf numFmtId="15" fontId="15" fillId="0" borderId="21" xfId="0" quotePrefix="1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5" fontId="36" fillId="0" borderId="0" xfId="0" quotePrefix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0</xdr:col>
      <xdr:colOff>628650</xdr:colOff>
      <xdr:row>4</xdr:row>
      <xdr:rowOff>38100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0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0</xdr:col>
      <xdr:colOff>1609725</xdr:colOff>
      <xdr:row>4</xdr:row>
      <xdr:rowOff>38100</xdr:rowOff>
    </xdr:to>
    <xdr:pic>
      <xdr:nvPicPr>
        <xdr:cNvPr id="3" name="Picture 2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0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0</xdr:col>
      <xdr:colOff>1609725</xdr:colOff>
      <xdr:row>4</xdr:row>
      <xdr:rowOff>38100</xdr:rowOff>
    </xdr:to>
    <xdr:pic>
      <xdr:nvPicPr>
        <xdr:cNvPr id="4" name="Picture 3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0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3</xdr:row>
      <xdr:rowOff>180974</xdr:rowOff>
    </xdr:to>
    <xdr:pic>
      <xdr:nvPicPr>
        <xdr:cNvPr id="2" name="Picture 5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3</xdr:col>
      <xdr:colOff>616527</xdr:colOff>
      <xdr:row>4</xdr:row>
      <xdr:rowOff>142875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1026102" cy="943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142875</xdr:rowOff>
    </xdr:from>
    <xdr:to>
      <xdr:col>2</xdr:col>
      <xdr:colOff>619125</xdr:colOff>
      <xdr:row>0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2875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161925</xdr:colOff>
      <xdr:row>4</xdr:row>
      <xdr:rowOff>76200</xdr:rowOff>
    </xdr:to>
    <xdr:pic>
      <xdr:nvPicPr>
        <xdr:cNvPr id="3" name="Picture 2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66675"/>
          <a:ext cx="7620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0</xdr:row>
      <xdr:rowOff>76200</xdr:rowOff>
    </xdr:from>
    <xdr:to>
      <xdr:col>0</xdr:col>
      <xdr:colOff>1104899</xdr:colOff>
      <xdr:row>6</xdr:row>
      <xdr:rowOff>19050</xdr:rowOff>
    </xdr:to>
    <xdr:pic>
      <xdr:nvPicPr>
        <xdr:cNvPr id="2" name="Picture 5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8" y="76200"/>
          <a:ext cx="104775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21</xdr:row>
      <xdr:rowOff>28575</xdr:rowOff>
    </xdr:from>
    <xdr:to>
      <xdr:col>10</xdr:col>
      <xdr:colOff>352425</xdr:colOff>
      <xdr:row>26</xdr:row>
      <xdr:rowOff>28575</xdr:rowOff>
    </xdr:to>
    <xdr:pic>
      <xdr:nvPicPr>
        <xdr:cNvPr id="2" name="Picture 1" descr="magandang%20gensan%20fin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448050"/>
          <a:ext cx="1943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533400</xdr:colOff>
      <xdr:row>20</xdr:row>
      <xdr:rowOff>0</xdr:rowOff>
    </xdr:to>
    <xdr:pic>
      <xdr:nvPicPr>
        <xdr:cNvPr id="3" name="Picture 2" descr="seal 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1455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428897</xdr:colOff>
      <xdr:row>20</xdr:row>
      <xdr:rowOff>45884</xdr:rowOff>
    </xdr:from>
    <xdr:to>
      <xdr:col>10</xdr:col>
      <xdr:colOff>530135</xdr:colOff>
      <xdr:row>22</xdr:row>
      <xdr:rowOff>39534</xdr:rowOff>
    </xdr:to>
    <xdr:pic>
      <xdr:nvPicPr>
        <xdr:cNvPr id="4" name="Picture 3" descr="ribbon%20only"/>
        <xdr:cNvPicPr/>
      </xdr:nvPicPr>
      <xdr:blipFill>
        <a:blip xmlns:r="http://schemas.openxmlformats.org/officeDocument/2006/relationships" r:embed="rId3" cstate="print"/>
        <a:srcRect l="874" t="-999" r="16922" b="999"/>
        <a:stretch>
          <a:fillRect/>
        </a:stretch>
      </xdr:blipFill>
      <xdr:spPr bwMode="auto">
        <a:xfrm rot="21360059" flipH="1">
          <a:off x="428897" y="3303434"/>
          <a:ext cx="550191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209549</xdr:colOff>
      <xdr:row>4</xdr:row>
      <xdr:rowOff>114300</xdr:rowOff>
    </xdr:to>
    <xdr:pic>
      <xdr:nvPicPr>
        <xdr:cNvPr id="5" name="Picture 4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47625"/>
          <a:ext cx="95249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1095375</xdr:colOff>
      <xdr:row>5</xdr:row>
      <xdr:rowOff>82046</xdr:rowOff>
    </xdr:to>
    <xdr:pic>
      <xdr:nvPicPr>
        <xdr:cNvPr id="5" name="Picture 4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123950" cy="11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843534</xdr:colOff>
      <xdr:row>4</xdr:row>
      <xdr:rowOff>66674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948309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209549</xdr:colOff>
      <xdr:row>0</xdr:row>
      <xdr:rowOff>0</xdr:rowOff>
    </xdr:from>
    <xdr:to>
      <xdr:col>4</xdr:col>
      <xdr:colOff>1110537</xdr:colOff>
      <xdr:row>5</xdr:row>
      <xdr:rowOff>95250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4" y="0"/>
          <a:ext cx="900988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4</xdr:col>
      <xdr:colOff>619125</xdr:colOff>
      <xdr:row>6</xdr:row>
      <xdr:rowOff>119380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42875"/>
          <a:ext cx="990600" cy="957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114298</xdr:rowOff>
    </xdr:from>
    <xdr:to>
      <xdr:col>3</xdr:col>
      <xdr:colOff>716661</xdr:colOff>
      <xdr:row>5</xdr:row>
      <xdr:rowOff>0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4298"/>
          <a:ext cx="926211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66673</xdr:rowOff>
    </xdr:from>
    <xdr:to>
      <xdr:col>3</xdr:col>
      <xdr:colOff>1028700</xdr:colOff>
      <xdr:row>4</xdr:row>
      <xdr:rowOff>161924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3"/>
          <a:ext cx="9810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19049</xdr:rowOff>
    </xdr:from>
    <xdr:to>
      <xdr:col>3</xdr:col>
      <xdr:colOff>704850</xdr:colOff>
      <xdr:row>6</xdr:row>
      <xdr:rowOff>47624</xdr:rowOff>
    </xdr:to>
    <xdr:pic>
      <xdr:nvPicPr>
        <xdr:cNvPr id="2" name="Picture 1" descr="sea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80974"/>
          <a:ext cx="9048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BES/JEV2012/SEFJEV09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BES/JEV2012/SEFJEV01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BES/JEV2012/SEFJEV07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Bs&amp;JEVs\2008FS%20-%20SEF\SEFTB1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J"/>
      <sheetName val="ChkDJ"/>
      <sheetName val="CDJ"/>
      <sheetName val="GL"/>
      <sheetName val="Dep'n"/>
      <sheetName val="codes"/>
      <sheetName val="summary"/>
    </sheetNames>
    <sheetDataSet>
      <sheetData sheetId="0">
        <row r="880">
          <cell r="H880">
            <v>101</v>
          </cell>
          <cell r="J880">
            <v>3367353.66</v>
          </cell>
          <cell r="K880">
            <v>2378617.2200000002</v>
          </cell>
        </row>
        <row r="881">
          <cell r="H881">
            <v>106</v>
          </cell>
          <cell r="J881">
            <v>0</v>
          </cell>
          <cell r="K881">
            <v>0</v>
          </cell>
        </row>
        <row r="882">
          <cell r="H882">
            <v>111</v>
          </cell>
          <cell r="J882">
            <v>2378577.2200000002</v>
          </cell>
          <cell r="K882">
            <v>0</v>
          </cell>
        </row>
        <row r="883">
          <cell r="H883">
            <v>128</v>
          </cell>
          <cell r="J883">
            <v>0</v>
          </cell>
          <cell r="K883">
            <v>2788982.6399999997</v>
          </cell>
        </row>
        <row r="884">
          <cell r="H884">
            <v>144</v>
          </cell>
          <cell r="J884">
            <v>5340.22</v>
          </cell>
          <cell r="K884">
            <v>0</v>
          </cell>
        </row>
        <row r="885">
          <cell r="H885">
            <v>148</v>
          </cell>
          <cell r="J885">
            <v>0</v>
          </cell>
          <cell r="K885">
            <v>4800</v>
          </cell>
        </row>
        <row r="886">
          <cell r="H886">
            <v>403</v>
          </cell>
          <cell r="J886">
            <v>0</v>
          </cell>
          <cell r="K886">
            <v>0</v>
          </cell>
        </row>
        <row r="887">
          <cell r="H887">
            <v>424</v>
          </cell>
          <cell r="J887">
            <v>0</v>
          </cell>
          <cell r="K887">
            <v>11247.93</v>
          </cell>
        </row>
        <row r="888">
          <cell r="H888">
            <v>452</v>
          </cell>
          <cell r="J888">
            <v>2788982.6399999997</v>
          </cell>
          <cell r="K888">
            <v>0</v>
          </cell>
        </row>
        <row r="889">
          <cell r="H889">
            <v>455</v>
          </cell>
          <cell r="J889">
            <v>0</v>
          </cell>
          <cell r="K889">
            <v>4456.9900000000007</v>
          </cell>
        </row>
        <row r="890">
          <cell r="H890">
            <v>591</v>
          </cell>
          <cell r="J890">
            <v>0</v>
          </cell>
          <cell r="K890">
            <v>2838937.25</v>
          </cell>
        </row>
        <row r="891">
          <cell r="H891">
            <v>599</v>
          </cell>
          <cell r="J891">
            <v>0</v>
          </cell>
          <cell r="K891">
            <v>289749.11</v>
          </cell>
        </row>
        <row r="892">
          <cell r="H892">
            <v>678</v>
          </cell>
          <cell r="J892">
            <v>0</v>
          </cell>
          <cell r="K892">
            <v>2.0799999999999996</v>
          </cell>
        </row>
        <row r="893">
          <cell r="H893">
            <v>684</v>
          </cell>
          <cell r="J893">
            <v>0</v>
          </cell>
          <cell r="K893">
            <v>352246.22999999992</v>
          </cell>
        </row>
        <row r="894">
          <cell r="H894">
            <v>955</v>
          </cell>
          <cell r="J894">
            <v>128785.71000000002</v>
          </cell>
          <cell r="K894">
            <v>0</v>
          </cell>
        </row>
      </sheetData>
      <sheetData sheetId="1">
        <row r="849">
          <cell r="H849">
            <v>111</v>
          </cell>
          <cell r="J849">
            <v>0</v>
          </cell>
          <cell r="K849">
            <v>3306679.6999999997</v>
          </cell>
        </row>
        <row r="850">
          <cell r="H850">
            <v>148</v>
          </cell>
          <cell r="J850">
            <v>206327.15</v>
          </cell>
          <cell r="K850">
            <v>0</v>
          </cell>
        </row>
        <row r="851">
          <cell r="H851">
            <v>155</v>
          </cell>
          <cell r="J851">
            <v>0</v>
          </cell>
          <cell r="K851">
            <v>0</v>
          </cell>
        </row>
        <row r="852">
          <cell r="H852">
            <v>165</v>
          </cell>
          <cell r="J852">
            <v>0</v>
          </cell>
          <cell r="K852">
            <v>0</v>
          </cell>
        </row>
        <row r="853">
          <cell r="H853">
            <v>181</v>
          </cell>
          <cell r="J853">
            <v>2178293.3899999997</v>
          </cell>
          <cell r="K853">
            <v>0</v>
          </cell>
        </row>
        <row r="854">
          <cell r="H854">
            <v>264</v>
          </cell>
          <cell r="J854">
            <v>397985.05</v>
          </cell>
          <cell r="K854">
            <v>0</v>
          </cell>
        </row>
        <row r="855">
          <cell r="H855">
            <v>412</v>
          </cell>
          <cell r="J855">
            <v>0</v>
          </cell>
          <cell r="K855">
            <v>170888.06000000003</v>
          </cell>
        </row>
        <row r="856">
          <cell r="H856">
            <v>413</v>
          </cell>
          <cell r="J856">
            <v>51052.13</v>
          </cell>
          <cell r="K856">
            <v>0</v>
          </cell>
        </row>
        <row r="857">
          <cell r="H857">
            <v>414</v>
          </cell>
          <cell r="J857">
            <v>20447.48</v>
          </cell>
          <cell r="K857">
            <v>0</v>
          </cell>
        </row>
        <row r="858">
          <cell r="H858">
            <v>415</v>
          </cell>
          <cell r="J858">
            <v>3800</v>
          </cell>
          <cell r="K858">
            <v>0</v>
          </cell>
        </row>
        <row r="859">
          <cell r="H859">
            <v>424</v>
          </cell>
          <cell r="J859">
            <v>0</v>
          </cell>
          <cell r="K859">
            <v>4310</v>
          </cell>
        </row>
        <row r="860">
          <cell r="H860">
            <v>426</v>
          </cell>
          <cell r="J860">
            <v>0</v>
          </cell>
          <cell r="K860">
            <v>29092.2</v>
          </cell>
        </row>
        <row r="861">
          <cell r="H861">
            <v>439</v>
          </cell>
          <cell r="J861">
            <v>471669.15</v>
          </cell>
          <cell r="K861">
            <v>0</v>
          </cell>
        </row>
        <row r="862">
          <cell r="H862">
            <v>751</v>
          </cell>
          <cell r="J862">
            <v>7931</v>
          </cell>
          <cell r="K862">
            <v>0</v>
          </cell>
        </row>
        <row r="863">
          <cell r="H863">
            <v>753</v>
          </cell>
          <cell r="J863">
            <v>2400</v>
          </cell>
          <cell r="K863">
            <v>0</v>
          </cell>
        </row>
        <row r="864">
          <cell r="H864">
            <v>755</v>
          </cell>
          <cell r="J864">
            <v>24379.5</v>
          </cell>
          <cell r="K864">
            <v>0</v>
          </cell>
        </row>
        <row r="865">
          <cell r="H865">
            <v>759</v>
          </cell>
          <cell r="J865">
            <v>0</v>
          </cell>
          <cell r="K865">
            <v>0</v>
          </cell>
        </row>
        <row r="866">
          <cell r="H866">
            <v>767</v>
          </cell>
          <cell r="J866">
            <v>79135.11</v>
          </cell>
          <cell r="K866">
            <v>0</v>
          </cell>
        </row>
        <row r="867">
          <cell r="H867">
            <v>841</v>
          </cell>
          <cell r="J867">
            <v>67550</v>
          </cell>
          <cell r="K867">
            <v>0</v>
          </cell>
        </row>
      </sheetData>
      <sheetData sheetId="2">
        <row r="190">
          <cell r="H190">
            <v>148</v>
          </cell>
          <cell r="J190">
            <v>0</v>
          </cell>
          <cell r="K190">
            <v>5552432.1400000006</v>
          </cell>
        </row>
        <row r="191">
          <cell r="H191">
            <v>720</v>
          </cell>
          <cell r="J191">
            <v>577200</v>
          </cell>
          <cell r="K191">
            <v>0</v>
          </cell>
        </row>
        <row r="192">
          <cell r="H192">
            <v>751</v>
          </cell>
          <cell r="J192">
            <v>2527382.2400000002</v>
          </cell>
          <cell r="K192">
            <v>0</v>
          </cell>
        </row>
        <row r="193">
          <cell r="H193">
            <v>753</v>
          </cell>
          <cell r="J193">
            <v>240000</v>
          </cell>
          <cell r="K193">
            <v>0</v>
          </cell>
        </row>
        <row r="194">
          <cell r="H194">
            <v>758</v>
          </cell>
          <cell r="J194">
            <v>1890099.9</v>
          </cell>
          <cell r="K194">
            <v>0</v>
          </cell>
        </row>
        <row r="195">
          <cell r="H195">
            <v>782</v>
          </cell>
          <cell r="J195">
            <v>70000</v>
          </cell>
          <cell r="K195">
            <v>0</v>
          </cell>
        </row>
        <row r="196">
          <cell r="H196">
            <v>799</v>
          </cell>
          <cell r="J196">
            <v>0</v>
          </cell>
          <cell r="K196">
            <v>0</v>
          </cell>
        </row>
        <row r="197">
          <cell r="H197">
            <v>969</v>
          </cell>
          <cell r="J197">
            <v>247750</v>
          </cell>
          <cell r="K197">
            <v>0</v>
          </cell>
        </row>
      </sheetData>
      <sheetData sheetId="3">
        <row r="448">
          <cell r="H448">
            <v>111</v>
          </cell>
          <cell r="J448">
            <v>0</v>
          </cell>
          <cell r="K448">
            <v>2181116.25</v>
          </cell>
        </row>
        <row r="449">
          <cell r="H449">
            <v>113</v>
          </cell>
          <cell r="J449">
            <v>105843.46</v>
          </cell>
          <cell r="K449">
            <v>0</v>
          </cell>
        </row>
        <row r="450">
          <cell r="H450">
            <v>128</v>
          </cell>
          <cell r="J450">
            <v>248626.28</v>
          </cell>
          <cell r="K450">
            <v>0</v>
          </cell>
        </row>
        <row r="451">
          <cell r="H451">
            <v>312</v>
          </cell>
          <cell r="J451">
            <v>0</v>
          </cell>
          <cell r="K451">
            <v>78748.02</v>
          </cell>
        </row>
        <row r="452">
          <cell r="H452">
            <v>323</v>
          </cell>
          <cell r="J452">
            <v>0</v>
          </cell>
          <cell r="K452">
            <v>2277</v>
          </cell>
        </row>
        <row r="453">
          <cell r="H453">
            <v>329</v>
          </cell>
          <cell r="J453">
            <v>0</v>
          </cell>
          <cell r="K453">
            <v>173.25</v>
          </cell>
        </row>
        <row r="454">
          <cell r="H454">
            <v>335</v>
          </cell>
          <cell r="J454">
            <v>0</v>
          </cell>
          <cell r="K454">
            <v>3446.48</v>
          </cell>
        </row>
        <row r="455">
          <cell r="H455">
            <v>336</v>
          </cell>
          <cell r="J455">
            <v>0</v>
          </cell>
          <cell r="K455">
            <v>582</v>
          </cell>
        </row>
        <row r="456">
          <cell r="H456">
            <v>350</v>
          </cell>
          <cell r="J456">
            <v>0</v>
          </cell>
          <cell r="K456">
            <v>1044</v>
          </cell>
        </row>
        <row r="457">
          <cell r="H457">
            <v>412</v>
          </cell>
          <cell r="J457">
            <v>133660.68</v>
          </cell>
          <cell r="K457">
            <v>204876.78</v>
          </cell>
        </row>
        <row r="458">
          <cell r="H458">
            <v>413</v>
          </cell>
          <cell r="J458">
            <v>0</v>
          </cell>
          <cell r="K458">
            <v>585731.22</v>
          </cell>
        </row>
        <row r="459">
          <cell r="H459">
            <v>414</v>
          </cell>
          <cell r="J459">
            <v>0</v>
          </cell>
          <cell r="K459">
            <v>60088.53</v>
          </cell>
        </row>
        <row r="460">
          <cell r="H460">
            <v>415</v>
          </cell>
          <cell r="J460">
            <v>0</v>
          </cell>
          <cell r="K460">
            <v>63725</v>
          </cell>
        </row>
        <row r="461">
          <cell r="H461">
            <v>424</v>
          </cell>
          <cell r="J461">
            <v>0</v>
          </cell>
          <cell r="K461">
            <v>2911.34</v>
          </cell>
        </row>
        <row r="462">
          <cell r="H462">
            <v>439</v>
          </cell>
          <cell r="J462">
            <v>0</v>
          </cell>
          <cell r="K462">
            <v>479669.15</v>
          </cell>
        </row>
        <row r="463">
          <cell r="H463">
            <v>452</v>
          </cell>
          <cell r="J463">
            <v>0</v>
          </cell>
          <cell r="K463">
            <v>248626.28</v>
          </cell>
        </row>
        <row r="464">
          <cell r="H464">
            <v>599</v>
          </cell>
          <cell r="J464">
            <v>801.69</v>
          </cell>
          <cell r="K464">
            <v>0</v>
          </cell>
        </row>
        <row r="465">
          <cell r="H465">
            <v>664</v>
          </cell>
          <cell r="J465">
            <v>0</v>
          </cell>
          <cell r="K465">
            <v>105843.46</v>
          </cell>
        </row>
        <row r="466">
          <cell r="H466">
            <v>684</v>
          </cell>
          <cell r="J466">
            <v>2109.65</v>
          </cell>
          <cell r="K466">
            <v>0</v>
          </cell>
        </row>
        <row r="467">
          <cell r="H467">
            <v>701</v>
          </cell>
          <cell r="J467">
            <v>2402355.09</v>
          </cell>
          <cell r="K467">
            <v>0</v>
          </cell>
        </row>
        <row r="468">
          <cell r="H468">
            <v>705</v>
          </cell>
          <cell r="J468">
            <v>157441.46</v>
          </cell>
          <cell r="K468">
            <v>0</v>
          </cell>
        </row>
        <row r="469">
          <cell r="H469">
            <v>711</v>
          </cell>
          <cell r="J469">
            <v>312188.09999999998</v>
          </cell>
          <cell r="K469">
            <v>0</v>
          </cell>
        </row>
        <row r="470">
          <cell r="H470">
            <v>731</v>
          </cell>
          <cell r="J470">
            <v>308571.00000000006</v>
          </cell>
          <cell r="K470">
            <v>0</v>
          </cell>
        </row>
        <row r="471">
          <cell r="H471">
            <v>732</v>
          </cell>
          <cell r="J471">
            <v>15700</v>
          </cell>
          <cell r="K471">
            <v>0</v>
          </cell>
        </row>
        <row r="472">
          <cell r="H472">
            <v>733</v>
          </cell>
          <cell r="J472">
            <v>31862.5</v>
          </cell>
          <cell r="K472">
            <v>0</v>
          </cell>
        </row>
        <row r="473">
          <cell r="H473">
            <v>734</v>
          </cell>
          <cell r="J473">
            <v>15641.17</v>
          </cell>
          <cell r="K473">
            <v>0</v>
          </cell>
        </row>
        <row r="474">
          <cell r="H474">
            <v>799</v>
          </cell>
          <cell r="J474">
            <v>197786.93</v>
          </cell>
          <cell r="K474">
            <v>0</v>
          </cell>
        </row>
        <row r="475">
          <cell r="H475">
            <v>912</v>
          </cell>
          <cell r="J475">
            <v>78748.02</v>
          </cell>
          <cell r="K475">
            <v>0</v>
          </cell>
        </row>
        <row r="476">
          <cell r="H476">
            <v>923</v>
          </cell>
          <cell r="J476">
            <v>2277</v>
          </cell>
          <cell r="K476">
            <v>0</v>
          </cell>
        </row>
        <row r="477">
          <cell r="H477">
            <v>929</v>
          </cell>
          <cell r="J477">
            <v>173.25</v>
          </cell>
          <cell r="K477">
            <v>0</v>
          </cell>
        </row>
        <row r="478">
          <cell r="H478">
            <v>935</v>
          </cell>
          <cell r="J478">
            <v>3446.48</v>
          </cell>
          <cell r="K478">
            <v>0</v>
          </cell>
        </row>
        <row r="479">
          <cell r="H479">
            <v>936</v>
          </cell>
          <cell r="J479">
            <v>582</v>
          </cell>
          <cell r="K479">
            <v>0</v>
          </cell>
        </row>
        <row r="480">
          <cell r="H480">
            <v>950</v>
          </cell>
          <cell r="J480">
            <v>1044</v>
          </cell>
          <cell r="K480">
            <v>0</v>
          </cell>
        </row>
        <row r="481">
          <cell r="J481">
            <v>0</v>
          </cell>
          <cell r="K481">
            <v>0</v>
          </cell>
        </row>
        <row r="482">
          <cell r="J482">
            <v>0</v>
          </cell>
          <cell r="K482">
            <v>0</v>
          </cell>
        </row>
        <row r="483">
          <cell r="J483">
            <v>0</v>
          </cell>
          <cell r="K483">
            <v>0</v>
          </cell>
        </row>
        <row r="484">
          <cell r="J484">
            <v>0</v>
          </cell>
          <cell r="K484">
            <v>0</v>
          </cell>
        </row>
        <row r="485">
          <cell r="J485">
            <v>0</v>
          </cell>
          <cell r="K485">
            <v>0</v>
          </cell>
        </row>
        <row r="486">
          <cell r="J486">
            <v>0</v>
          </cell>
          <cell r="K486">
            <v>0</v>
          </cell>
        </row>
        <row r="487">
          <cell r="J487">
            <v>0</v>
          </cell>
          <cell r="K487">
            <v>0</v>
          </cell>
        </row>
      </sheetData>
      <sheetData sheetId="4" refreshError="1"/>
      <sheetData sheetId="5">
        <row r="1">
          <cell r="A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J"/>
      <sheetName val="ChkDJ"/>
      <sheetName val="CDJ"/>
      <sheetName val="GL"/>
      <sheetName val="Dep'n"/>
      <sheetName val="codes"/>
    </sheetNames>
    <sheetDataSet>
      <sheetData sheetId="0">
        <row r="840">
          <cell r="J840">
            <v>8932552.9199999999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J"/>
      <sheetName val="ChkDJ"/>
      <sheetName val="CDJ"/>
      <sheetName val="GL"/>
      <sheetName val="Dep'n"/>
      <sheetName val="codes"/>
      <sheetName val="summary"/>
    </sheetNames>
    <sheetDataSet>
      <sheetData sheetId="0">
        <row r="877">
          <cell r="J877">
            <v>2204447.8500000006</v>
          </cell>
        </row>
      </sheetData>
      <sheetData sheetId="1">
        <row r="595">
          <cell r="K595">
            <v>3244530.0600000005</v>
          </cell>
        </row>
      </sheetData>
      <sheetData sheetId="2" refreshError="1"/>
      <sheetData sheetId="3">
        <row r="370">
          <cell r="M370">
            <v>-2100141.3800000004</v>
          </cell>
        </row>
      </sheetData>
      <sheetData sheetId="4" refreshError="1"/>
      <sheetData sheetId="5">
        <row r="1">
          <cell r="A1">
            <v>0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B-PostClosiing"/>
      <sheetName val="CA"/>
      <sheetName val="Due from"/>
      <sheetName val="BS"/>
      <sheetName val="IS"/>
      <sheetName val="REVISEDCFS2007"/>
      <sheetName val="SUB"/>
      <sheetName val="SUB Post C"/>
      <sheetName val="Govt Equity"/>
      <sheetName val="RevisedCFS"/>
      <sheetName val="RevisedGE"/>
      <sheetName val="Converted T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F14">
            <v>0</v>
          </cell>
        </row>
      </sheetData>
      <sheetData sheetId="5" refreshError="1"/>
      <sheetData sheetId="6" refreshError="1"/>
      <sheetData sheetId="7">
        <row r="354">
          <cell r="H354">
            <v>59478496.879999995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7"/>
  <sheetViews>
    <sheetView workbookViewId="0">
      <pane xSplit="2" ySplit="7" topLeftCell="E8" activePane="bottomRight" state="frozen"/>
      <selection pane="topRight" activeCell="C1" sqref="C1"/>
      <selection pane="bottomLeft" activeCell="A8" sqref="A8"/>
      <selection pane="bottomRight" activeCell="H9" sqref="H9:H13"/>
    </sheetView>
  </sheetViews>
  <sheetFormatPr defaultColWidth="8.85546875" defaultRowHeight="12.75"/>
  <cols>
    <col min="1" max="1" width="57" style="74" customWidth="1"/>
    <col min="2" max="2" width="8.28515625" style="74" customWidth="1"/>
    <col min="3" max="3" width="16" style="74" customWidth="1"/>
    <col min="4" max="4" width="0.85546875" style="74" hidden="1" customWidth="1"/>
    <col min="5" max="5" width="16.85546875" style="74" customWidth="1"/>
    <col min="6" max="6" width="16.42578125" style="74" customWidth="1"/>
    <col min="7" max="7" width="1.5703125" style="74" customWidth="1"/>
    <col min="8" max="8" width="16.140625" style="74" customWidth="1"/>
    <col min="9" max="9" width="16.5703125" style="74" customWidth="1"/>
    <col min="10" max="10" width="17.85546875" style="74" bestFit="1" customWidth="1"/>
    <col min="11" max="11" width="14.5703125" style="74" customWidth="1"/>
    <col min="12" max="12" width="1.28515625" style="74" customWidth="1"/>
    <col min="13" max="13" width="14.5703125" style="74" customWidth="1"/>
    <col min="14" max="15" width="14.7109375" style="74" customWidth="1"/>
    <col min="16" max="16" width="14" style="74" bestFit="1" customWidth="1"/>
    <col min="17" max="17" width="13.7109375" style="74" customWidth="1"/>
    <col min="18" max="18" width="13.140625" style="74" customWidth="1"/>
    <col min="19" max="19" width="13.85546875" style="74" customWidth="1"/>
    <col min="20" max="20" width="14.85546875" style="75" customWidth="1"/>
    <col min="21" max="21" width="16.7109375" style="75" customWidth="1"/>
    <col min="22" max="23" width="12.7109375" style="74" hidden="1" customWidth="1"/>
    <col min="24" max="25" width="14" style="74" hidden="1" customWidth="1"/>
    <col min="26" max="16384" width="8.85546875" style="74"/>
  </cols>
  <sheetData>
    <row r="1" spans="1:25" s="156" customFormat="1" ht="18.75">
      <c r="A1" s="686" t="s">
        <v>7</v>
      </c>
      <c r="B1" s="686"/>
      <c r="C1" s="686"/>
      <c r="D1" s="686"/>
      <c r="E1" s="686"/>
      <c r="F1" s="621"/>
      <c r="G1" s="621"/>
      <c r="H1" s="621"/>
      <c r="I1" s="621"/>
      <c r="T1" s="157"/>
      <c r="U1" s="157"/>
    </row>
    <row r="2" spans="1:25" s="156" customFormat="1" ht="18.75">
      <c r="A2" s="686" t="s">
        <v>1101</v>
      </c>
      <c r="B2" s="686"/>
      <c r="C2" s="686"/>
      <c r="D2" s="686"/>
      <c r="E2" s="686"/>
      <c r="F2" s="621"/>
      <c r="G2" s="621"/>
      <c r="H2" s="621"/>
      <c r="I2" s="621"/>
      <c r="O2" s="158"/>
      <c r="R2" s="158"/>
      <c r="T2" s="157"/>
      <c r="U2" s="157"/>
    </row>
    <row r="3" spans="1:25" s="156" customFormat="1" ht="18.75">
      <c r="A3" s="686" t="s">
        <v>84</v>
      </c>
      <c r="B3" s="686"/>
      <c r="C3" s="686"/>
      <c r="D3" s="686"/>
      <c r="E3" s="686"/>
      <c r="F3" s="621"/>
      <c r="G3" s="621"/>
      <c r="H3" s="620"/>
      <c r="I3" s="621"/>
      <c r="T3" s="157"/>
      <c r="U3" s="157"/>
    </row>
    <row r="4" spans="1:25" s="156" customFormat="1" ht="18.75">
      <c r="A4" s="687" t="s">
        <v>1145</v>
      </c>
      <c r="B4" s="687"/>
      <c r="C4" s="687"/>
      <c r="D4" s="687"/>
      <c r="E4" s="687"/>
      <c r="F4" s="622"/>
      <c r="G4" s="622"/>
      <c r="H4" s="622"/>
      <c r="I4" s="622"/>
      <c r="J4" s="158"/>
      <c r="T4" s="157"/>
      <c r="U4" s="157"/>
    </row>
    <row r="5" spans="1:25" ht="13.5" thickBot="1">
      <c r="A5" s="76"/>
      <c r="B5" s="76"/>
      <c r="C5" s="77"/>
      <c r="D5" s="77"/>
      <c r="E5" s="76"/>
    </row>
    <row r="6" spans="1:25" ht="12.75" customHeight="1">
      <c r="A6" s="688" t="s">
        <v>8</v>
      </c>
      <c r="B6" s="690" t="s">
        <v>9</v>
      </c>
      <c r="C6" s="692" t="s">
        <v>10</v>
      </c>
      <c r="D6" s="623"/>
      <c r="E6" s="692" t="s">
        <v>11</v>
      </c>
      <c r="F6" s="685" t="s">
        <v>12</v>
      </c>
      <c r="G6" s="681"/>
      <c r="H6" s="681"/>
      <c r="I6" s="685" t="s">
        <v>13</v>
      </c>
      <c r="J6" s="684"/>
      <c r="K6" s="681" t="s">
        <v>14</v>
      </c>
      <c r="L6" s="681"/>
      <c r="M6" s="681"/>
      <c r="N6" s="685" t="s">
        <v>15</v>
      </c>
      <c r="O6" s="684"/>
      <c r="P6" s="685" t="s">
        <v>17</v>
      </c>
      <c r="Q6" s="684"/>
      <c r="R6" s="685" t="s">
        <v>16</v>
      </c>
      <c r="S6" s="684"/>
      <c r="T6" s="681" t="s">
        <v>18</v>
      </c>
      <c r="U6" s="682"/>
      <c r="V6" s="681" t="s">
        <v>969</v>
      </c>
      <c r="W6" s="682"/>
      <c r="X6" s="683" t="s">
        <v>970</v>
      </c>
      <c r="Y6" s="684"/>
    </row>
    <row r="7" spans="1:25" ht="13.5" customHeight="1" thickBot="1">
      <c r="A7" s="689"/>
      <c r="B7" s="691"/>
      <c r="C7" s="693"/>
      <c r="D7" s="624"/>
      <c r="E7" s="693"/>
      <c r="F7" s="78" t="s">
        <v>10</v>
      </c>
      <c r="G7" s="79"/>
      <c r="H7" s="79" t="s">
        <v>11</v>
      </c>
      <c r="I7" s="78" t="s">
        <v>10</v>
      </c>
      <c r="J7" s="80" t="s">
        <v>11</v>
      </c>
      <c r="K7" s="79" t="s">
        <v>10</v>
      </c>
      <c r="L7" s="79"/>
      <c r="M7" s="79" t="s">
        <v>11</v>
      </c>
      <c r="N7" s="78" t="s">
        <v>10</v>
      </c>
      <c r="O7" s="80" t="s">
        <v>11</v>
      </c>
      <c r="P7" s="79" t="s">
        <v>10</v>
      </c>
      <c r="Q7" s="79" t="s">
        <v>11</v>
      </c>
      <c r="R7" s="78" t="s">
        <v>10</v>
      </c>
      <c r="S7" s="80" t="s">
        <v>11</v>
      </c>
      <c r="T7" s="81" t="s">
        <v>10</v>
      </c>
      <c r="U7" s="363" t="s">
        <v>11</v>
      </c>
      <c r="V7" s="81" t="s">
        <v>10</v>
      </c>
      <c r="W7" s="363" t="s">
        <v>11</v>
      </c>
      <c r="X7" s="81" t="s">
        <v>10</v>
      </c>
      <c r="Y7" s="81" t="s">
        <v>11</v>
      </c>
    </row>
    <row r="8" spans="1:25">
      <c r="A8" s="82"/>
      <c r="B8" s="512"/>
      <c r="C8" s="83"/>
      <c r="D8" s="83"/>
      <c r="E8" s="83"/>
      <c r="F8" s="583"/>
      <c r="G8" s="84"/>
      <c r="H8" s="86"/>
      <c r="I8" s="84"/>
      <c r="J8" s="85"/>
      <c r="K8" s="86"/>
      <c r="L8" s="86"/>
      <c r="M8" s="87"/>
      <c r="N8" s="352"/>
      <c r="O8" s="85"/>
      <c r="P8" s="88"/>
      <c r="Q8" s="89"/>
      <c r="R8" s="90"/>
      <c r="S8" s="91"/>
      <c r="T8" s="92"/>
      <c r="U8" s="364"/>
      <c r="V8" s="92"/>
      <c r="W8" s="364"/>
      <c r="X8" s="105"/>
      <c r="Y8" s="353"/>
    </row>
    <row r="9" spans="1:25" ht="15.75">
      <c r="A9" s="93" t="s">
        <v>19</v>
      </c>
      <c r="B9" s="513">
        <v>101</v>
      </c>
      <c r="C9" s="94">
        <f>+K9-M9</f>
        <v>1232016.4600000083</v>
      </c>
      <c r="D9" s="94"/>
      <c r="E9" s="95"/>
      <c r="F9" s="648">
        <v>66199411.559999995</v>
      </c>
      <c r="G9" s="649"/>
      <c r="H9" s="96">
        <v>65956131.539999992</v>
      </c>
      <c r="I9" s="98">
        <f>+N9+P9+R9+T9+V9+X9</f>
        <v>3367353.66</v>
      </c>
      <c r="J9" s="98">
        <f t="shared" ref="I9:J72" si="0">+O9+Q9+S9+U9+W9+Y9</f>
        <v>2378617.2200000002</v>
      </c>
      <c r="K9" s="96">
        <f t="shared" ref="K9:K72" si="1">+F9+I9</f>
        <v>69566765.219999999</v>
      </c>
      <c r="L9" s="96"/>
      <c r="M9" s="96">
        <f>+H9+J9</f>
        <v>68334748.75999999</v>
      </c>
      <c r="N9" s="107">
        <f>SUMIF([1]CRJ!$H$880:$H$894,B9:B414,[1]CRJ!$J$880:$J$894)</f>
        <v>3367353.66</v>
      </c>
      <c r="O9" s="100">
        <f>SUMIF([1]CRJ!$H$880:$H$894,B9:B414,[1]CRJ!$K$880:$K$894)</f>
        <v>2378617.2200000002</v>
      </c>
      <c r="P9" s="100">
        <f>SUMIF([1]ChkDJ!$H$849:$H$867,B9:B414,[1]ChkDJ!$J$849:$J$867)</f>
        <v>0</v>
      </c>
      <c r="Q9" s="100">
        <f>SUMIF([1]ChkDJ!$H$849:$H$867,B9:B414,[1]ChkDJ!$K$849:$K$867)</f>
        <v>0</v>
      </c>
      <c r="R9" s="100">
        <f>SUMIF([1]CDJ!$H$190:$H$197,B9:B414,[1]CDJ!$J$190:$J$197)</f>
        <v>0</v>
      </c>
      <c r="S9" s="100">
        <f>SUMIF([1]CDJ!$H$190:$H$197,B9:B414,[1]CDJ!$K$190:$K$197)</f>
        <v>0</v>
      </c>
      <c r="T9" s="102">
        <f>SUMIF([1]GL!$H$448:$H$480,B9:B419,[1]GL!$J$448:$J$487)</f>
        <v>0</v>
      </c>
      <c r="U9" s="100">
        <f>SUMIF([1]GL!$H$448:$H$480,B9:B419,[1]GL!$K$448:$K$487)</f>
        <v>0</v>
      </c>
      <c r="V9" s="102"/>
      <c r="W9" s="100"/>
      <c r="X9" s="101"/>
      <c r="Y9" s="353"/>
    </row>
    <row r="10" spans="1:25" ht="15.75" hidden="1" customHeight="1">
      <c r="A10" s="93" t="s">
        <v>516</v>
      </c>
      <c r="B10" s="513">
        <v>103</v>
      </c>
      <c r="C10" s="94">
        <f>+K10-M10</f>
        <v>0</v>
      </c>
      <c r="D10" s="94"/>
      <c r="E10" s="95"/>
      <c r="F10" s="648">
        <v>0</v>
      </c>
      <c r="G10" s="649"/>
      <c r="H10" s="96">
        <v>0</v>
      </c>
      <c r="I10" s="98">
        <f t="shared" si="0"/>
        <v>0</v>
      </c>
      <c r="J10" s="98">
        <f t="shared" si="0"/>
        <v>0</v>
      </c>
      <c r="K10" s="96">
        <f t="shared" si="1"/>
        <v>0</v>
      </c>
      <c r="L10" s="96"/>
      <c r="M10" s="96">
        <f t="shared" ref="M10:M74" si="2">+H10+J10</f>
        <v>0</v>
      </c>
      <c r="N10" s="107">
        <f>SUMIF([1]CRJ!$H$880:$H$894,B10:B415,[1]CRJ!$J$880:$J$894)</f>
        <v>0</v>
      </c>
      <c r="O10" s="100">
        <f>SUMIF([1]CRJ!$H$880:$H$894,B10:B415,[1]CRJ!$K$880:$K$894)</f>
        <v>0</v>
      </c>
      <c r="P10" s="100">
        <f>SUMIF([1]ChkDJ!$H$849:$H$867,B10:B415,[1]ChkDJ!$J$849:$J$867)</f>
        <v>0</v>
      </c>
      <c r="Q10" s="100">
        <f>SUMIF([1]ChkDJ!$H$849:$H$867,B10:B415,[1]ChkDJ!$K$849:$K$867)</f>
        <v>0</v>
      </c>
      <c r="R10" s="100">
        <f>SUMIF([1]CDJ!$H$190:$H$197,B10:B415,[1]CDJ!$J$190:$J$197)</f>
        <v>0</v>
      </c>
      <c r="S10" s="100">
        <f>SUMIF([1]CDJ!$H$190:$H$197,B10:B415,[1]CDJ!$K$190:$K$197)</f>
        <v>0</v>
      </c>
      <c r="T10" s="102">
        <f>SUMIF([1]GL!$H$448:$H$480,B10:B420,[1]GL!$J$448:$J$487)</f>
        <v>0</v>
      </c>
      <c r="U10" s="100">
        <f>SUMIF([1]GL!$H$448:$H$480,B10:B420,[1]GL!$K$448:$K$487)</f>
        <v>0</v>
      </c>
      <c r="V10" s="102"/>
      <c r="W10" s="100"/>
      <c r="X10" s="101"/>
      <c r="Y10" s="353"/>
    </row>
    <row r="11" spans="1:25" ht="15.75" hidden="1" customHeight="1">
      <c r="A11" s="93" t="s">
        <v>517</v>
      </c>
      <c r="B11" s="513">
        <v>104</v>
      </c>
      <c r="C11" s="94">
        <f>+K11-M11</f>
        <v>0</v>
      </c>
      <c r="D11" s="94"/>
      <c r="E11" s="95"/>
      <c r="F11" s="648">
        <v>0</v>
      </c>
      <c r="G11" s="649"/>
      <c r="H11" s="96">
        <v>0</v>
      </c>
      <c r="I11" s="98">
        <f t="shared" si="0"/>
        <v>0</v>
      </c>
      <c r="J11" s="98">
        <f t="shared" si="0"/>
        <v>0</v>
      </c>
      <c r="K11" s="96">
        <f t="shared" si="1"/>
        <v>0</v>
      </c>
      <c r="L11" s="96"/>
      <c r="M11" s="96">
        <f t="shared" si="2"/>
        <v>0</v>
      </c>
      <c r="N11" s="107">
        <f>SUMIF([1]CRJ!$H$880:$H$894,B11:B416,[1]CRJ!$J$880:$J$894)</f>
        <v>0</v>
      </c>
      <c r="O11" s="100">
        <f>SUMIF([1]CRJ!$H$880:$H$894,B11:B416,[1]CRJ!$K$880:$K$894)</f>
        <v>0</v>
      </c>
      <c r="P11" s="100">
        <f>SUMIF([1]ChkDJ!$H$849:$H$867,B11:B416,[1]ChkDJ!$J$849:$J$867)</f>
        <v>0</v>
      </c>
      <c r="Q11" s="100">
        <f>SUMIF([1]ChkDJ!$H$849:$H$867,B11:B416,[1]ChkDJ!$K$849:$K$867)</f>
        <v>0</v>
      </c>
      <c r="R11" s="100">
        <f>SUMIF([1]CDJ!$H$190:$H$197,B11:B416,[1]CDJ!$J$190:$J$197)</f>
        <v>0</v>
      </c>
      <c r="S11" s="100">
        <f>SUMIF([1]CDJ!$H$190:$H$197,B11:B416,[1]CDJ!$K$190:$K$197)</f>
        <v>0</v>
      </c>
      <c r="T11" s="102">
        <f>SUMIF([1]GL!$H$448:$H$480,B11:B421,[1]GL!$J$448:$J$487)</f>
        <v>0</v>
      </c>
      <c r="U11" s="100">
        <f>SUMIF([1]GL!$H$448:$H$480,B11:B421,[1]GL!$K$448:$K$487)</f>
        <v>0</v>
      </c>
      <c r="V11" s="102"/>
      <c r="W11" s="100"/>
      <c r="X11" s="101"/>
      <c r="Y11" s="353"/>
    </row>
    <row r="12" spans="1:25" ht="15.75" hidden="1" customHeight="1">
      <c r="A12" s="93" t="s">
        <v>334</v>
      </c>
      <c r="B12" s="513">
        <v>106</v>
      </c>
      <c r="C12" s="94">
        <f t="shared" ref="C12:C128" si="3">+K12-M12</f>
        <v>0</v>
      </c>
      <c r="D12" s="94"/>
      <c r="E12" s="95"/>
      <c r="F12" s="648">
        <v>299720</v>
      </c>
      <c r="G12" s="649"/>
      <c r="H12" s="96">
        <v>299720</v>
      </c>
      <c r="I12" s="98">
        <f t="shared" si="0"/>
        <v>0</v>
      </c>
      <c r="J12" s="98">
        <f t="shared" si="0"/>
        <v>0</v>
      </c>
      <c r="K12" s="96">
        <f t="shared" si="1"/>
        <v>299720</v>
      </c>
      <c r="L12" s="96"/>
      <c r="M12" s="96">
        <f t="shared" si="2"/>
        <v>299720</v>
      </c>
      <c r="N12" s="107">
        <f>SUMIF([1]CRJ!$H$880:$H$894,B12:B417,[1]CRJ!$J$880:$J$894)</f>
        <v>0</v>
      </c>
      <c r="O12" s="100">
        <f>SUMIF([1]CRJ!$H$880:$H$894,B12:B417,[1]CRJ!$K$880:$K$894)</f>
        <v>0</v>
      </c>
      <c r="P12" s="100">
        <f>SUMIF([1]ChkDJ!$H$849:$H$867,B12:B417,[1]ChkDJ!$J$849:$J$867)</f>
        <v>0</v>
      </c>
      <c r="Q12" s="100">
        <f>SUMIF([1]ChkDJ!$H$849:$H$867,B12:B417,[1]ChkDJ!$K$849:$K$867)</f>
        <v>0</v>
      </c>
      <c r="R12" s="100">
        <f>SUMIF([1]CDJ!$H$190:$H$197,B12:B417,[1]CDJ!$J$190:$J$197)</f>
        <v>0</v>
      </c>
      <c r="S12" s="100">
        <f>SUMIF([1]CDJ!$H$190:$H$197,B12:B417,[1]CDJ!$K$190:$K$197)</f>
        <v>0</v>
      </c>
      <c r="T12" s="102">
        <f>SUMIF([1]GL!$H$448:$H$480,B12:B422,[1]GL!$J$448:$J$487)</f>
        <v>0</v>
      </c>
      <c r="U12" s="100">
        <f>SUMIF([1]GL!$H$448:$H$480,B12:B422,[1]GL!$K$448:$K$487)</f>
        <v>0</v>
      </c>
      <c r="V12" s="102"/>
      <c r="W12" s="100"/>
      <c r="X12" s="101"/>
      <c r="Y12" s="353"/>
    </row>
    <row r="13" spans="1:25" ht="15.75">
      <c r="A13" s="93" t="s">
        <v>20</v>
      </c>
      <c r="B13" s="513">
        <v>111</v>
      </c>
      <c r="C13" s="94">
        <f t="shared" si="3"/>
        <v>47969180.159999967</v>
      </c>
      <c r="D13" s="94"/>
      <c r="E13" s="95"/>
      <c r="F13" s="648">
        <v>117706110.73999996</v>
      </c>
      <c r="G13" s="649"/>
      <c r="H13" s="96">
        <v>66627711.850000001</v>
      </c>
      <c r="I13" s="98">
        <f>+N13+P13+R13+T13+V13+X13</f>
        <v>2378577.2200000002</v>
      </c>
      <c r="J13" s="98">
        <f t="shared" si="0"/>
        <v>5487795.9499999993</v>
      </c>
      <c r="K13" s="96">
        <f t="shared" si="1"/>
        <v>120084687.95999996</v>
      </c>
      <c r="L13" s="96"/>
      <c r="M13" s="96">
        <f t="shared" si="2"/>
        <v>72115507.799999997</v>
      </c>
      <c r="N13" s="107">
        <f>SUMIF([1]CRJ!$H$880:$H$894,B13:B418,[1]CRJ!$J$880:$J$894)</f>
        <v>2378577.2200000002</v>
      </c>
      <c r="O13" s="100">
        <f>SUMIF([1]CRJ!$H$880:$H$894,B13:B418,[1]CRJ!$K$880:$K$894)</f>
        <v>0</v>
      </c>
      <c r="P13" s="100">
        <f>SUMIF([1]ChkDJ!$H$849:$H$867,B13:B418,[1]ChkDJ!$J$849:$J$867)</f>
        <v>0</v>
      </c>
      <c r="Q13" s="100">
        <f>SUMIF([1]ChkDJ!$H$849:$H$867,B13:B418,[1]ChkDJ!$K$849:$K$867)</f>
        <v>3306679.6999999997</v>
      </c>
      <c r="R13" s="100">
        <f>SUMIF([1]CDJ!$H$190:$H$197,B13:B418,[1]CDJ!$J$190:$J$197)</f>
        <v>0</v>
      </c>
      <c r="S13" s="100">
        <f>SUMIF([1]CDJ!$H$190:$H$197,B13:B418,[1]CDJ!$K$190:$K$197)</f>
        <v>0</v>
      </c>
      <c r="T13" s="102">
        <f>SUMIF([1]GL!$H$448:$H$480,B13:B423,[1]GL!$J$448:$J$487)</f>
        <v>0</v>
      </c>
      <c r="U13" s="100">
        <f>SUMIF([1]GL!$H$448:$H$480,B13:B423,[1]GL!$K$448:$K$487)</f>
        <v>2181116.25</v>
      </c>
      <c r="V13" s="102"/>
      <c r="W13" s="100"/>
      <c r="X13" s="101"/>
      <c r="Y13" s="353"/>
    </row>
    <row r="14" spans="1:25" ht="15.75" hidden="1" customHeight="1">
      <c r="A14" s="93" t="s">
        <v>518</v>
      </c>
      <c r="B14" s="513">
        <v>112</v>
      </c>
      <c r="C14" s="94">
        <f t="shared" si="3"/>
        <v>0</v>
      </c>
      <c r="D14" s="94"/>
      <c r="E14" s="95"/>
      <c r="F14" s="648">
        <v>0</v>
      </c>
      <c r="G14" s="649"/>
      <c r="H14" s="96">
        <v>0</v>
      </c>
      <c r="I14" s="98">
        <f t="shared" si="0"/>
        <v>0</v>
      </c>
      <c r="J14" s="98">
        <f t="shared" si="0"/>
        <v>0</v>
      </c>
      <c r="K14" s="96">
        <f t="shared" si="1"/>
        <v>0</v>
      </c>
      <c r="L14" s="96"/>
      <c r="M14" s="96">
        <f t="shared" si="2"/>
        <v>0</v>
      </c>
      <c r="N14" s="107">
        <f>SUMIF([1]CRJ!$H$880:$H$894,B14:B419,[1]CRJ!$J$880:$J$894)</f>
        <v>0</v>
      </c>
      <c r="O14" s="100">
        <f>SUMIF([1]CRJ!$H$880:$H$894,B14:B419,[1]CRJ!$K$880:$K$894)</f>
        <v>0</v>
      </c>
      <c r="P14" s="100">
        <f>SUMIF([1]ChkDJ!$H$849:$H$867,B14:B419,[1]ChkDJ!$J$849:$J$867)</f>
        <v>0</v>
      </c>
      <c r="Q14" s="100">
        <f>SUMIF([1]ChkDJ!$H$849:$H$867,B14:B419,[1]ChkDJ!$K$849:$K$867)</f>
        <v>0</v>
      </c>
      <c r="R14" s="100">
        <f>SUMIF([1]CDJ!$H$190:$H$197,B14:B419,[1]CDJ!$J$190:$J$197)</f>
        <v>0</v>
      </c>
      <c r="S14" s="100">
        <f>SUMIF([1]CDJ!$H$190:$H$197,B14:B419,[1]CDJ!$K$190:$K$197)</f>
        <v>0</v>
      </c>
      <c r="T14" s="102">
        <f>SUMIF([1]GL!$H$448:$H$480,B14:B424,[1]GL!$J$448:$J$487)</f>
        <v>0</v>
      </c>
      <c r="U14" s="100">
        <f>SUMIF([1]GL!$H$448:$H$480,B14:B424,[1]GL!$K$448:$K$487)</f>
        <v>0</v>
      </c>
      <c r="V14" s="102"/>
      <c r="W14" s="100"/>
      <c r="X14" s="101"/>
      <c r="Y14" s="353"/>
    </row>
    <row r="15" spans="1:25" ht="15.75">
      <c r="A15" s="93" t="s">
        <v>21</v>
      </c>
      <c r="B15" s="513">
        <v>113</v>
      </c>
      <c r="C15" s="94">
        <f t="shared" si="3"/>
        <v>89327436.490000024</v>
      </c>
      <c r="D15" s="94"/>
      <c r="E15" s="95"/>
      <c r="F15" s="648">
        <v>89221593.030000031</v>
      </c>
      <c r="G15" s="649"/>
      <c r="H15" s="96">
        <v>0</v>
      </c>
      <c r="I15" s="98">
        <f t="shared" si="0"/>
        <v>105843.46</v>
      </c>
      <c r="J15" s="98">
        <f t="shared" si="0"/>
        <v>0</v>
      </c>
      <c r="K15" s="96">
        <f t="shared" si="1"/>
        <v>89327436.490000024</v>
      </c>
      <c r="L15" s="96"/>
      <c r="M15" s="96">
        <f t="shared" si="2"/>
        <v>0</v>
      </c>
      <c r="N15" s="107">
        <f>SUMIF([1]CRJ!$H$880:$H$894,B15:B420,[1]CRJ!$J$880:$J$894)</f>
        <v>0</v>
      </c>
      <c r="O15" s="100">
        <f>SUMIF([1]CRJ!$H$880:$H$894,B15:B420,[1]CRJ!$K$880:$K$894)</f>
        <v>0</v>
      </c>
      <c r="P15" s="100">
        <f>SUMIF([1]ChkDJ!$H$849:$H$867,B15:B420,[1]ChkDJ!$J$849:$J$867)</f>
        <v>0</v>
      </c>
      <c r="Q15" s="100">
        <f>SUMIF([1]ChkDJ!$H$849:$H$867,B15:B420,[1]ChkDJ!$K$849:$K$867)</f>
        <v>0</v>
      </c>
      <c r="R15" s="100">
        <f>SUMIF([1]CDJ!$H$190:$H$197,B15:B420,[1]CDJ!$J$190:$J$197)</f>
        <v>0</v>
      </c>
      <c r="S15" s="100">
        <f>SUMIF([1]CDJ!$H$190:$H$197,B15:B420,[1]CDJ!$K$190:$K$197)</f>
        <v>0</v>
      </c>
      <c r="T15" s="102">
        <f>SUMIF([1]GL!$H$448:$H$480,B15:B425,[1]GL!$J$448:$J$487)</f>
        <v>105843.46</v>
      </c>
      <c r="U15" s="100">
        <f>SUMIF([1]GL!$H$448:$H$480,B15:B425,[1]GL!$K$448:$K$487)</f>
        <v>0</v>
      </c>
      <c r="V15" s="102"/>
      <c r="W15" s="100"/>
      <c r="X15" s="101"/>
      <c r="Y15" s="353"/>
    </row>
    <row r="16" spans="1:25" ht="15.75" hidden="1" customHeight="1">
      <c r="A16" s="93" t="s">
        <v>519</v>
      </c>
      <c r="B16" s="513">
        <v>115</v>
      </c>
      <c r="C16" s="94">
        <f t="shared" si="3"/>
        <v>0</v>
      </c>
      <c r="D16" s="94"/>
      <c r="E16" s="95"/>
      <c r="F16" s="648">
        <v>0</v>
      </c>
      <c r="G16" s="649"/>
      <c r="H16" s="96">
        <v>0</v>
      </c>
      <c r="I16" s="98">
        <f t="shared" si="0"/>
        <v>0</v>
      </c>
      <c r="J16" s="98">
        <f t="shared" si="0"/>
        <v>0</v>
      </c>
      <c r="K16" s="96">
        <f t="shared" si="1"/>
        <v>0</v>
      </c>
      <c r="L16" s="96"/>
      <c r="M16" s="96">
        <f t="shared" si="2"/>
        <v>0</v>
      </c>
      <c r="N16" s="107">
        <f>SUMIF([1]CRJ!$H$880:$H$894,B16:B421,[1]CRJ!$J$880:$J$894)</f>
        <v>0</v>
      </c>
      <c r="O16" s="100">
        <f>SUMIF([1]CRJ!$H$880:$H$894,B16:B421,[1]CRJ!$K$880:$K$894)</f>
        <v>0</v>
      </c>
      <c r="P16" s="100">
        <f>SUMIF([1]ChkDJ!$H$849:$H$867,B16:B421,[1]ChkDJ!$J$849:$J$867)</f>
        <v>0</v>
      </c>
      <c r="Q16" s="100">
        <f>SUMIF([1]ChkDJ!$H$849:$H$867,B16:B421,[1]ChkDJ!$K$849:$K$867)</f>
        <v>0</v>
      </c>
      <c r="R16" s="100">
        <f>SUMIF([1]CDJ!$H$190:$H$197,B16:B421,[1]CDJ!$J$190:$J$197)</f>
        <v>0</v>
      </c>
      <c r="S16" s="100">
        <f>SUMIF([1]CDJ!$H$190:$H$197,B16:B421,[1]CDJ!$K$190:$K$197)</f>
        <v>0</v>
      </c>
      <c r="T16" s="102">
        <f>SUMIF([1]GL!$H$448:$H$480,B16:B426,[1]GL!$J$448:$J$487)</f>
        <v>0</v>
      </c>
      <c r="U16" s="100">
        <f>SUMIF([1]GL!$H$448:$H$480,B16:B426,[1]GL!$K$448:$K$487)</f>
        <v>0</v>
      </c>
      <c r="V16" s="102"/>
      <c r="W16" s="100"/>
      <c r="X16" s="101"/>
      <c r="Y16" s="353"/>
    </row>
    <row r="17" spans="1:25" ht="15.75" hidden="1" customHeight="1">
      <c r="A17" s="93" t="s">
        <v>520</v>
      </c>
      <c r="B17" s="513">
        <v>116</v>
      </c>
      <c r="C17" s="94">
        <f t="shared" si="3"/>
        <v>0</v>
      </c>
      <c r="D17" s="94"/>
      <c r="E17" s="95"/>
      <c r="F17" s="648">
        <v>0</v>
      </c>
      <c r="G17" s="649"/>
      <c r="H17" s="96">
        <v>0</v>
      </c>
      <c r="I17" s="98">
        <f t="shared" si="0"/>
        <v>0</v>
      </c>
      <c r="J17" s="98">
        <f t="shared" si="0"/>
        <v>0</v>
      </c>
      <c r="K17" s="96">
        <f t="shared" si="1"/>
        <v>0</v>
      </c>
      <c r="L17" s="96"/>
      <c r="M17" s="96">
        <f t="shared" si="2"/>
        <v>0</v>
      </c>
      <c r="N17" s="107">
        <f>SUMIF([1]CRJ!$H$880:$H$894,B17:B422,[1]CRJ!$J$880:$J$894)</f>
        <v>0</v>
      </c>
      <c r="O17" s="100">
        <f>SUMIF([1]CRJ!$H$880:$H$894,B17:B422,[1]CRJ!$K$880:$K$894)</f>
        <v>0</v>
      </c>
      <c r="P17" s="100">
        <f>SUMIF([1]ChkDJ!$H$849:$H$867,B17:B422,[1]ChkDJ!$J$849:$J$867)</f>
        <v>0</v>
      </c>
      <c r="Q17" s="100">
        <f>SUMIF([1]ChkDJ!$H$849:$H$867,B17:B422,[1]ChkDJ!$K$849:$K$867)</f>
        <v>0</v>
      </c>
      <c r="R17" s="100">
        <f>SUMIF([1]CDJ!$H$190:$H$197,B17:B422,[1]CDJ!$J$190:$J$197)</f>
        <v>0</v>
      </c>
      <c r="S17" s="100">
        <f>SUMIF([1]CDJ!$H$190:$H$197,B17:B422,[1]CDJ!$K$190:$K$197)</f>
        <v>0</v>
      </c>
      <c r="T17" s="102">
        <f>SUMIF([1]GL!$H$448:$H$480,B17:B427,[1]GL!$J$448:$J$487)</f>
        <v>0</v>
      </c>
      <c r="U17" s="100">
        <f>SUMIF([1]GL!$H$448:$H$480,B17:B427,[1]GL!$K$448:$K$487)</f>
        <v>0</v>
      </c>
      <c r="V17" s="102"/>
      <c r="W17" s="100"/>
      <c r="X17" s="101"/>
      <c r="Y17" s="353"/>
    </row>
    <row r="18" spans="1:25" ht="15.75" hidden="1" customHeight="1">
      <c r="A18" s="93" t="s">
        <v>521</v>
      </c>
      <c r="B18" s="513">
        <v>117</v>
      </c>
      <c r="C18" s="94">
        <f t="shared" si="3"/>
        <v>0</v>
      </c>
      <c r="D18" s="94"/>
      <c r="E18" s="95"/>
      <c r="F18" s="648">
        <v>0</v>
      </c>
      <c r="G18" s="649"/>
      <c r="H18" s="96">
        <v>0</v>
      </c>
      <c r="I18" s="98">
        <f t="shared" si="0"/>
        <v>0</v>
      </c>
      <c r="J18" s="98">
        <f t="shared" si="0"/>
        <v>0</v>
      </c>
      <c r="K18" s="96">
        <f t="shared" si="1"/>
        <v>0</v>
      </c>
      <c r="L18" s="96"/>
      <c r="M18" s="96">
        <f t="shared" si="2"/>
        <v>0</v>
      </c>
      <c r="N18" s="107">
        <f>SUMIF([1]CRJ!$H$880:$H$894,B18:B423,[1]CRJ!$J$880:$J$894)</f>
        <v>0</v>
      </c>
      <c r="O18" s="100">
        <f>SUMIF([1]CRJ!$H$880:$H$894,B18:B423,[1]CRJ!$K$880:$K$894)</f>
        <v>0</v>
      </c>
      <c r="P18" s="100">
        <f>SUMIF([1]ChkDJ!$H$849:$H$867,B18:B423,[1]ChkDJ!$J$849:$J$867)</f>
        <v>0</v>
      </c>
      <c r="Q18" s="100">
        <f>SUMIF([1]ChkDJ!$H$849:$H$867,B18:B423,[1]ChkDJ!$K$849:$K$867)</f>
        <v>0</v>
      </c>
      <c r="R18" s="100">
        <f>SUMIF([1]CDJ!$H$190:$H$197,B18:B423,[1]CDJ!$J$190:$J$197)</f>
        <v>0</v>
      </c>
      <c r="S18" s="100">
        <f>SUMIF([1]CDJ!$H$190:$H$197,B18:B423,[1]CDJ!$K$190:$K$197)</f>
        <v>0</v>
      </c>
      <c r="T18" s="102">
        <f>SUMIF([1]GL!$H$448:$H$480,B18:B428,[1]GL!$J$448:$J$487)</f>
        <v>0</v>
      </c>
      <c r="U18" s="100">
        <f>SUMIF([1]GL!$H$448:$H$480,B18:B428,[1]GL!$K$448:$K$487)</f>
        <v>0</v>
      </c>
      <c r="V18" s="102"/>
      <c r="W18" s="100"/>
      <c r="X18" s="101"/>
      <c r="Y18" s="353"/>
    </row>
    <row r="19" spans="1:25" ht="15.75" hidden="1" customHeight="1">
      <c r="A19" s="93" t="s">
        <v>522</v>
      </c>
      <c r="B19" s="513">
        <v>121</v>
      </c>
      <c r="C19" s="94">
        <f t="shared" si="3"/>
        <v>0</v>
      </c>
      <c r="D19" s="94"/>
      <c r="E19" s="95"/>
      <c r="F19" s="648">
        <v>0</v>
      </c>
      <c r="G19" s="649"/>
      <c r="H19" s="96">
        <v>0</v>
      </c>
      <c r="I19" s="98">
        <f t="shared" si="0"/>
        <v>0</v>
      </c>
      <c r="J19" s="98">
        <f t="shared" si="0"/>
        <v>0</v>
      </c>
      <c r="K19" s="96">
        <f t="shared" si="1"/>
        <v>0</v>
      </c>
      <c r="L19" s="96"/>
      <c r="M19" s="96">
        <f t="shared" si="2"/>
        <v>0</v>
      </c>
      <c r="N19" s="107">
        <f>SUMIF([1]CRJ!$H$880:$H$894,B19:B424,[1]CRJ!$J$880:$J$894)</f>
        <v>0</v>
      </c>
      <c r="O19" s="100">
        <f>SUMIF([1]CRJ!$H$880:$H$894,B19:B424,[1]CRJ!$K$880:$K$894)</f>
        <v>0</v>
      </c>
      <c r="P19" s="100">
        <f>SUMIF([1]ChkDJ!$H$849:$H$867,B19:B424,[1]ChkDJ!$J$849:$J$867)</f>
        <v>0</v>
      </c>
      <c r="Q19" s="100">
        <f>SUMIF([1]ChkDJ!$H$849:$H$867,B19:B424,[1]ChkDJ!$K$849:$K$867)</f>
        <v>0</v>
      </c>
      <c r="R19" s="100">
        <f>SUMIF([1]CDJ!$H$190:$H$197,B19:B424,[1]CDJ!$J$190:$J$197)</f>
        <v>0</v>
      </c>
      <c r="S19" s="100">
        <f>SUMIF([1]CDJ!$H$190:$H$197,B19:B424,[1]CDJ!$K$190:$K$197)</f>
        <v>0</v>
      </c>
      <c r="T19" s="102">
        <f>SUMIF([1]GL!$H$448:$H$480,B19:B429,[1]GL!$J$448:$J$487)</f>
        <v>0</v>
      </c>
      <c r="U19" s="100">
        <f>SUMIF([1]GL!$H$448:$H$480,B19:B429,[1]GL!$K$448:$K$487)</f>
        <v>0</v>
      </c>
      <c r="V19" s="102"/>
      <c r="W19" s="100"/>
      <c r="X19" s="101"/>
      <c r="Y19" s="353"/>
    </row>
    <row r="20" spans="1:25" ht="15.75" hidden="1" customHeight="1">
      <c r="A20" s="93" t="s">
        <v>523</v>
      </c>
      <c r="B20" s="513">
        <v>122</v>
      </c>
      <c r="C20" s="94">
        <f t="shared" si="3"/>
        <v>0</v>
      </c>
      <c r="D20" s="94"/>
      <c r="E20" s="95"/>
      <c r="F20" s="648">
        <v>0</v>
      </c>
      <c r="G20" s="649"/>
      <c r="H20" s="96">
        <v>0</v>
      </c>
      <c r="I20" s="98">
        <f t="shared" si="0"/>
        <v>0</v>
      </c>
      <c r="J20" s="98">
        <f t="shared" si="0"/>
        <v>0</v>
      </c>
      <c r="K20" s="96">
        <f t="shared" si="1"/>
        <v>0</v>
      </c>
      <c r="L20" s="96"/>
      <c r="M20" s="96">
        <f t="shared" si="2"/>
        <v>0</v>
      </c>
      <c r="N20" s="107">
        <f>SUMIF([1]CRJ!$H$880:$H$894,B20:B425,[1]CRJ!$J$880:$J$894)</f>
        <v>0</v>
      </c>
      <c r="O20" s="100">
        <f>SUMIF([1]CRJ!$H$880:$H$894,B20:B425,[1]CRJ!$K$880:$K$894)</f>
        <v>0</v>
      </c>
      <c r="P20" s="100">
        <f>SUMIF([1]ChkDJ!$H$849:$H$867,B20:B425,[1]ChkDJ!$J$849:$J$867)</f>
        <v>0</v>
      </c>
      <c r="Q20" s="100">
        <f>SUMIF([1]ChkDJ!$H$849:$H$867,B20:B425,[1]ChkDJ!$K$849:$K$867)</f>
        <v>0</v>
      </c>
      <c r="R20" s="100">
        <f>SUMIF([1]CDJ!$H$190:$H$197,B20:B425,[1]CDJ!$J$190:$J$197)</f>
        <v>0</v>
      </c>
      <c r="S20" s="100">
        <f>SUMIF([1]CDJ!$H$190:$H$197,B20:B425,[1]CDJ!$K$190:$K$197)</f>
        <v>0</v>
      </c>
      <c r="T20" s="102">
        <f>SUMIF([1]GL!$H$448:$H$480,B20:B430,[1]GL!$J$448:$J$487)</f>
        <v>0</v>
      </c>
      <c r="U20" s="100">
        <f>SUMIF([1]GL!$H$448:$H$480,B20:B430,[1]GL!$K$448:$K$487)</f>
        <v>0</v>
      </c>
      <c r="V20" s="102"/>
      <c r="W20" s="100"/>
      <c r="X20" s="101"/>
      <c r="Y20" s="353"/>
    </row>
    <row r="21" spans="1:25" ht="15.75">
      <c r="A21" s="93" t="s">
        <v>22</v>
      </c>
      <c r="B21" s="513">
        <v>123</v>
      </c>
      <c r="C21" s="94">
        <f t="shared" si="3"/>
        <v>733.58</v>
      </c>
      <c r="D21" s="94"/>
      <c r="E21" s="95"/>
      <c r="F21" s="648">
        <v>733.58</v>
      </c>
      <c r="G21" s="649"/>
      <c r="H21" s="96">
        <v>0</v>
      </c>
      <c r="I21" s="98">
        <f t="shared" si="0"/>
        <v>0</v>
      </c>
      <c r="J21" s="98">
        <f t="shared" si="0"/>
        <v>0</v>
      </c>
      <c r="K21" s="96">
        <f t="shared" si="1"/>
        <v>733.58</v>
      </c>
      <c r="L21" s="96"/>
      <c r="M21" s="96">
        <f t="shared" si="2"/>
        <v>0</v>
      </c>
      <c r="N21" s="107">
        <f>SUMIF([1]CRJ!$H$880:$H$894,B21:B426,[1]CRJ!$J$880:$J$894)</f>
        <v>0</v>
      </c>
      <c r="O21" s="100">
        <f>SUMIF([1]CRJ!$H$880:$H$894,B21:B426,[1]CRJ!$K$880:$K$894)</f>
        <v>0</v>
      </c>
      <c r="P21" s="100">
        <f>SUMIF([1]ChkDJ!$H$849:$H$867,B21:B426,[1]ChkDJ!$J$849:$J$867)</f>
        <v>0</v>
      </c>
      <c r="Q21" s="100">
        <f>SUMIF([1]ChkDJ!$H$849:$H$867,B21:B426,[1]ChkDJ!$K$849:$K$867)</f>
        <v>0</v>
      </c>
      <c r="R21" s="100">
        <f>SUMIF([1]CDJ!$H$190:$H$197,B21:B426,[1]CDJ!$J$190:$J$197)</f>
        <v>0</v>
      </c>
      <c r="S21" s="100">
        <f>SUMIF([1]CDJ!$H$190:$H$197,B21:B426,[1]CDJ!$K$190:$K$197)</f>
        <v>0</v>
      </c>
      <c r="T21" s="102">
        <f>SUMIF([1]GL!$H$448:$H$480,B21:B431,[1]GL!$J$448:$J$487)</f>
        <v>0</v>
      </c>
      <c r="U21" s="100">
        <f>SUMIF([1]GL!$H$448:$H$480,B21:B431,[1]GL!$K$448:$K$487)</f>
        <v>0</v>
      </c>
      <c r="V21" s="102"/>
      <c r="W21" s="100"/>
      <c r="X21" s="101"/>
      <c r="Y21" s="353"/>
    </row>
    <row r="22" spans="1:25" ht="15.75" hidden="1" customHeight="1">
      <c r="A22" s="93" t="s">
        <v>524</v>
      </c>
      <c r="B22" s="513">
        <v>124</v>
      </c>
      <c r="C22" s="94">
        <f t="shared" si="3"/>
        <v>0</v>
      </c>
      <c r="D22" s="94"/>
      <c r="E22" s="95"/>
      <c r="F22" s="648">
        <v>0</v>
      </c>
      <c r="G22" s="649"/>
      <c r="H22" s="96">
        <v>0</v>
      </c>
      <c r="I22" s="98">
        <f t="shared" si="0"/>
        <v>0</v>
      </c>
      <c r="J22" s="98">
        <f t="shared" si="0"/>
        <v>0</v>
      </c>
      <c r="K22" s="96">
        <f t="shared" si="1"/>
        <v>0</v>
      </c>
      <c r="L22" s="96"/>
      <c r="M22" s="96">
        <f t="shared" si="2"/>
        <v>0</v>
      </c>
      <c r="N22" s="107">
        <f>SUMIF([1]CRJ!$H$880:$H$894,B22:B427,[1]CRJ!$J$880:$J$894)</f>
        <v>0</v>
      </c>
      <c r="O22" s="100">
        <f>SUMIF([1]CRJ!$H$880:$H$894,B22:B427,[1]CRJ!$K$880:$K$894)</f>
        <v>0</v>
      </c>
      <c r="P22" s="100">
        <f>SUMIF([1]ChkDJ!$H$849:$H$867,B22:B427,[1]ChkDJ!$J$849:$J$867)</f>
        <v>0</v>
      </c>
      <c r="Q22" s="100">
        <f>SUMIF([1]ChkDJ!$H$849:$H$867,B22:B427,[1]ChkDJ!$K$849:$K$867)</f>
        <v>0</v>
      </c>
      <c r="R22" s="100">
        <f>SUMIF([1]CDJ!$H$190:$H$197,B22:B427,[1]CDJ!$J$190:$J$197)</f>
        <v>0</v>
      </c>
      <c r="S22" s="100">
        <f>SUMIF([1]CDJ!$H$190:$H$197,B22:B427,[1]CDJ!$K$190:$K$197)</f>
        <v>0</v>
      </c>
      <c r="T22" s="102">
        <f>SUMIF([1]GL!$H$448:$H$480,B22:B432,[1]GL!$J$448:$J$487)</f>
        <v>0</v>
      </c>
      <c r="U22" s="100">
        <f>SUMIF([1]GL!$H$448:$H$480,B22:B432,[1]GL!$K$448:$K$487)</f>
        <v>0</v>
      </c>
      <c r="V22" s="102"/>
      <c r="W22" s="100"/>
      <c r="X22" s="101"/>
      <c r="Y22" s="353"/>
    </row>
    <row r="23" spans="1:25" ht="15.75" hidden="1" customHeight="1">
      <c r="A23" s="93" t="s">
        <v>525</v>
      </c>
      <c r="B23" s="513">
        <v>125</v>
      </c>
      <c r="C23" s="94">
        <f t="shared" si="3"/>
        <v>0</v>
      </c>
      <c r="D23" s="94"/>
      <c r="E23" s="95"/>
      <c r="F23" s="648">
        <v>0</v>
      </c>
      <c r="G23" s="649"/>
      <c r="H23" s="96">
        <v>0</v>
      </c>
      <c r="I23" s="98">
        <f t="shared" si="0"/>
        <v>0</v>
      </c>
      <c r="J23" s="98">
        <f t="shared" si="0"/>
        <v>0</v>
      </c>
      <c r="K23" s="96">
        <f t="shared" si="1"/>
        <v>0</v>
      </c>
      <c r="L23" s="96"/>
      <c r="M23" s="96">
        <f t="shared" si="2"/>
        <v>0</v>
      </c>
      <c r="N23" s="107">
        <f>SUMIF([1]CRJ!$H$880:$H$894,B23:B428,[1]CRJ!$J$880:$J$894)</f>
        <v>0</v>
      </c>
      <c r="O23" s="100">
        <f>SUMIF([1]CRJ!$H$880:$H$894,B23:B428,[1]CRJ!$K$880:$K$894)</f>
        <v>0</v>
      </c>
      <c r="P23" s="100">
        <f>SUMIF([1]ChkDJ!$H$849:$H$867,B23:B428,[1]ChkDJ!$J$849:$J$867)</f>
        <v>0</v>
      </c>
      <c r="Q23" s="100">
        <f>SUMIF([1]ChkDJ!$H$849:$H$867,B23:B428,[1]ChkDJ!$K$849:$K$867)</f>
        <v>0</v>
      </c>
      <c r="R23" s="100">
        <f>SUMIF([1]CDJ!$H$190:$H$197,B23:B428,[1]CDJ!$J$190:$J$197)</f>
        <v>0</v>
      </c>
      <c r="S23" s="100">
        <f>SUMIF([1]CDJ!$H$190:$H$197,B23:B428,[1]CDJ!$K$190:$K$197)</f>
        <v>0</v>
      </c>
      <c r="T23" s="102">
        <f>SUMIF([1]GL!$H$448:$H$480,B23:B433,[1]GL!$J$448:$J$487)</f>
        <v>0</v>
      </c>
      <c r="U23" s="100">
        <f>SUMIF([1]GL!$H$448:$H$480,B23:B433,[1]GL!$K$448:$K$487)</f>
        <v>0</v>
      </c>
      <c r="V23" s="102"/>
      <c r="W23" s="100"/>
      <c r="X23" s="101"/>
      <c r="Y23" s="353"/>
    </row>
    <row r="24" spans="1:25" ht="15.75" hidden="1" customHeight="1">
      <c r="A24" s="93" t="s">
        <v>526</v>
      </c>
      <c r="B24" s="513">
        <v>126</v>
      </c>
      <c r="C24" s="94">
        <f t="shared" si="3"/>
        <v>0</v>
      </c>
      <c r="D24" s="94"/>
      <c r="E24" s="95"/>
      <c r="F24" s="648">
        <v>0</v>
      </c>
      <c r="G24" s="649"/>
      <c r="H24" s="96">
        <v>0</v>
      </c>
      <c r="I24" s="98">
        <f t="shared" si="0"/>
        <v>0</v>
      </c>
      <c r="J24" s="98">
        <f t="shared" si="0"/>
        <v>0</v>
      </c>
      <c r="K24" s="96">
        <f t="shared" si="1"/>
        <v>0</v>
      </c>
      <c r="L24" s="96"/>
      <c r="M24" s="96">
        <f t="shared" si="2"/>
        <v>0</v>
      </c>
      <c r="N24" s="107">
        <f>SUMIF([1]CRJ!$H$880:$H$894,B24:B429,[1]CRJ!$J$880:$J$894)</f>
        <v>0</v>
      </c>
      <c r="O24" s="100">
        <f>SUMIF([1]CRJ!$H$880:$H$894,B24:B429,[1]CRJ!$K$880:$K$894)</f>
        <v>0</v>
      </c>
      <c r="P24" s="100">
        <f>SUMIF([1]ChkDJ!$H$849:$H$867,B24:B429,[1]ChkDJ!$J$849:$J$867)</f>
        <v>0</v>
      </c>
      <c r="Q24" s="100">
        <f>SUMIF([1]ChkDJ!$H$849:$H$867,B24:B429,[1]ChkDJ!$K$849:$K$867)</f>
        <v>0</v>
      </c>
      <c r="R24" s="100">
        <f>SUMIF([1]CDJ!$H$190:$H$197,B24:B429,[1]CDJ!$J$190:$J$197)</f>
        <v>0</v>
      </c>
      <c r="S24" s="100">
        <f>SUMIF([1]CDJ!$H$190:$H$197,B24:B429,[1]CDJ!$K$190:$K$197)</f>
        <v>0</v>
      </c>
      <c r="T24" s="102">
        <f>SUMIF([1]GL!$H$448:$H$480,B24:B434,[1]GL!$J$448:$J$487)</f>
        <v>0</v>
      </c>
      <c r="U24" s="100">
        <f>SUMIF([1]GL!$H$448:$H$480,B24:B434,[1]GL!$K$448:$K$487)</f>
        <v>0</v>
      </c>
      <c r="V24" s="102"/>
      <c r="W24" s="100"/>
      <c r="X24" s="101"/>
      <c r="Y24" s="353"/>
    </row>
    <row r="25" spans="1:25" s="344" customFormat="1" ht="15.75" hidden="1" customHeight="1">
      <c r="A25" s="419" t="s">
        <v>527</v>
      </c>
      <c r="B25" s="423">
        <v>127</v>
      </c>
      <c r="C25" s="420">
        <f>+K25-M25</f>
        <v>0</v>
      </c>
      <c r="D25" s="420"/>
      <c r="E25" s="420"/>
      <c r="F25" s="650">
        <v>0</v>
      </c>
      <c r="G25" s="651"/>
      <c r="H25" s="593">
        <v>0</v>
      </c>
      <c r="I25" s="98">
        <f t="shared" si="0"/>
        <v>0</v>
      </c>
      <c r="J25" s="98">
        <f t="shared" si="0"/>
        <v>0</v>
      </c>
      <c r="K25" s="96">
        <f t="shared" si="1"/>
        <v>0</v>
      </c>
      <c r="L25" s="96"/>
      <c r="M25" s="96">
        <f t="shared" si="2"/>
        <v>0</v>
      </c>
      <c r="N25" s="107">
        <f>SUMIF([1]CRJ!$H$880:$H$894,B25:B430,[1]CRJ!$J$880:$J$894)</f>
        <v>0</v>
      </c>
      <c r="O25" s="100">
        <f>SUMIF([1]CRJ!$H$880:$H$894,B25:B430,[1]CRJ!$K$880:$K$894)</f>
        <v>0</v>
      </c>
      <c r="P25" s="100">
        <f>SUMIF([1]ChkDJ!$H$849:$H$867,B25:B430,[1]ChkDJ!$J$849:$J$867)</f>
        <v>0</v>
      </c>
      <c r="Q25" s="100">
        <f>SUMIF([1]ChkDJ!$H$849:$H$867,B25:B430,[1]ChkDJ!$K$849:$K$867)</f>
        <v>0</v>
      </c>
      <c r="R25" s="100">
        <f>SUMIF([1]CDJ!$H$190:$H$197,B25:B430,[1]CDJ!$J$190:$J$197)</f>
        <v>0</v>
      </c>
      <c r="S25" s="100">
        <f>SUMIF([1]CDJ!$H$190:$H$197,B25:B430,[1]CDJ!$K$190:$K$197)</f>
        <v>0</v>
      </c>
      <c r="T25" s="102">
        <f>SUMIF([1]GL!$H$448:$H$480,B25:B435,[1]GL!$J$448:$J$487)</f>
        <v>0</v>
      </c>
      <c r="U25" s="100">
        <f>SUMIF([1]GL!$H$448:$H$480,B25:B435,[1]GL!$K$448:$K$487)</f>
        <v>0</v>
      </c>
      <c r="V25" s="102"/>
      <c r="W25" s="100"/>
      <c r="X25" s="101"/>
      <c r="Y25" s="353"/>
    </row>
    <row r="26" spans="1:25" ht="15.75" customHeight="1">
      <c r="A26" s="93" t="s">
        <v>167</v>
      </c>
      <c r="B26" s="513">
        <v>128</v>
      </c>
      <c r="C26" s="94">
        <f t="shared" si="3"/>
        <v>11864007.119999968</v>
      </c>
      <c r="D26" s="94"/>
      <c r="E26" s="95"/>
      <c r="F26" s="648">
        <v>69004025.079999968</v>
      </c>
      <c r="G26" s="649"/>
      <c r="H26" s="96">
        <v>54599661.600000001</v>
      </c>
      <c r="I26" s="98">
        <f t="shared" si="0"/>
        <v>248626.28</v>
      </c>
      <c r="J26" s="98">
        <f t="shared" si="0"/>
        <v>2788982.6399999997</v>
      </c>
      <c r="K26" s="96">
        <f t="shared" si="1"/>
        <v>69252651.35999997</v>
      </c>
      <c r="L26" s="96"/>
      <c r="M26" s="96">
        <f t="shared" si="2"/>
        <v>57388644.240000002</v>
      </c>
      <c r="N26" s="107">
        <f>SUMIF([1]CRJ!$H$880:$H$894,B26:B431,[1]CRJ!$J$880:$J$894)</f>
        <v>0</v>
      </c>
      <c r="O26" s="100">
        <f>SUMIF([1]CRJ!$H$880:$H$894,B26:B431,[1]CRJ!$K$880:$K$894)</f>
        <v>2788982.6399999997</v>
      </c>
      <c r="P26" s="100">
        <f>SUMIF([1]ChkDJ!$H$849:$H$867,B26:B431,[1]ChkDJ!$J$849:$J$867)</f>
        <v>0</v>
      </c>
      <c r="Q26" s="100">
        <f>SUMIF([1]ChkDJ!$H$849:$H$867,B26:B431,[1]ChkDJ!$K$849:$K$867)</f>
        <v>0</v>
      </c>
      <c r="R26" s="100">
        <f>SUMIF([1]CDJ!$H$190:$H$197,B26:B431,[1]CDJ!$J$190:$J$197)</f>
        <v>0</v>
      </c>
      <c r="S26" s="100">
        <f>SUMIF([1]CDJ!$H$190:$H$197,B26:B431,[1]CDJ!$K$190:$K$197)</f>
        <v>0</v>
      </c>
      <c r="T26" s="102">
        <f>SUMIF([1]GL!$H$448:$H$480,B26:B436,[1]GL!$J$448:$J$487)</f>
        <v>248626.28</v>
      </c>
      <c r="U26" s="100">
        <f>SUMIF([1]GL!$H$448:$H$480,B26:B436,[1]GL!$K$448:$K$487)</f>
        <v>0</v>
      </c>
      <c r="V26" s="102"/>
      <c r="W26" s="100"/>
      <c r="X26" s="101"/>
      <c r="Y26" s="353"/>
    </row>
    <row r="27" spans="1:25" s="344" customFormat="1" ht="15.75" hidden="1" customHeight="1">
      <c r="A27" s="419" t="s">
        <v>528</v>
      </c>
      <c r="B27" s="423">
        <v>129</v>
      </c>
      <c r="C27" s="420">
        <f>+K27-M27</f>
        <v>0</v>
      </c>
      <c r="D27" s="420"/>
      <c r="E27" s="420"/>
      <c r="F27" s="650">
        <v>0</v>
      </c>
      <c r="G27" s="651"/>
      <c r="H27" s="593">
        <v>0</v>
      </c>
      <c r="I27" s="98">
        <f t="shared" si="0"/>
        <v>0</v>
      </c>
      <c r="J27" s="98">
        <f t="shared" si="0"/>
        <v>0</v>
      </c>
      <c r="K27" s="96">
        <f t="shared" si="1"/>
        <v>0</v>
      </c>
      <c r="L27" s="96"/>
      <c r="M27" s="96">
        <f t="shared" si="2"/>
        <v>0</v>
      </c>
      <c r="N27" s="107">
        <f>SUMIF([1]CRJ!$H$880:$H$894,B27:B432,[1]CRJ!$J$880:$J$894)</f>
        <v>0</v>
      </c>
      <c r="O27" s="100">
        <f>SUMIF([1]CRJ!$H$880:$H$894,B27:B432,[1]CRJ!$K$880:$K$894)</f>
        <v>0</v>
      </c>
      <c r="P27" s="100">
        <f>SUMIF([1]ChkDJ!$H$849:$H$867,B27:B432,[1]ChkDJ!$J$849:$J$867)</f>
        <v>0</v>
      </c>
      <c r="Q27" s="100">
        <f>SUMIF([1]ChkDJ!$H$849:$H$867,B27:B432,[1]ChkDJ!$K$849:$K$867)</f>
        <v>0</v>
      </c>
      <c r="R27" s="100">
        <f>SUMIF([1]CDJ!$H$190:$H$197,B27:B432,[1]CDJ!$J$190:$J$197)</f>
        <v>0</v>
      </c>
      <c r="S27" s="100">
        <f>SUMIF([1]CDJ!$H$190:$H$197,B27:B432,[1]CDJ!$K$190:$K$197)</f>
        <v>0</v>
      </c>
      <c r="T27" s="102">
        <f>SUMIF([1]GL!$H$448:$H$480,B27:B437,[1]GL!$J$448:$J$487)</f>
        <v>0</v>
      </c>
      <c r="U27" s="100">
        <f>SUMIF([1]GL!$H$448:$H$480,B27:B437,[1]GL!$K$448:$K$487)</f>
        <v>0</v>
      </c>
      <c r="V27" s="102"/>
      <c r="W27" s="100"/>
      <c r="X27" s="101"/>
      <c r="Y27" s="353"/>
    </row>
    <row r="28" spans="1:25" ht="15.75">
      <c r="A28" s="93" t="s">
        <v>274</v>
      </c>
      <c r="B28" s="513">
        <v>136</v>
      </c>
      <c r="C28" s="94">
        <f t="shared" si="3"/>
        <v>21330.190000000002</v>
      </c>
      <c r="D28" s="94"/>
      <c r="E28" s="95"/>
      <c r="F28" s="648">
        <v>21330.190000000002</v>
      </c>
      <c r="G28" s="649"/>
      <c r="H28" s="96">
        <v>0</v>
      </c>
      <c r="I28" s="98">
        <f t="shared" si="0"/>
        <v>0</v>
      </c>
      <c r="J28" s="98">
        <f t="shared" si="0"/>
        <v>0</v>
      </c>
      <c r="K28" s="96">
        <f t="shared" si="1"/>
        <v>21330.190000000002</v>
      </c>
      <c r="L28" s="96"/>
      <c r="M28" s="96">
        <f t="shared" si="2"/>
        <v>0</v>
      </c>
      <c r="N28" s="107">
        <f>SUMIF([1]CRJ!$H$880:$H$894,B28:B433,[1]CRJ!$J$880:$J$894)</f>
        <v>0</v>
      </c>
      <c r="O28" s="100">
        <f>SUMIF([1]CRJ!$H$880:$H$894,B28:B433,[1]CRJ!$K$880:$K$894)</f>
        <v>0</v>
      </c>
      <c r="P28" s="100">
        <f>SUMIF([1]ChkDJ!$H$849:$H$867,B28:B433,[1]ChkDJ!$J$849:$J$867)</f>
        <v>0</v>
      </c>
      <c r="Q28" s="100">
        <f>SUMIF([1]ChkDJ!$H$849:$H$867,B28:B433,[1]ChkDJ!$K$849:$K$867)</f>
        <v>0</v>
      </c>
      <c r="R28" s="100">
        <f>SUMIF([1]CDJ!$H$190:$H$197,B28:B433,[1]CDJ!$J$190:$J$197)</f>
        <v>0</v>
      </c>
      <c r="S28" s="100">
        <f>SUMIF([1]CDJ!$H$190:$H$197,B28:B433,[1]CDJ!$K$190:$K$197)</f>
        <v>0</v>
      </c>
      <c r="T28" s="102">
        <f>SUMIF([1]GL!$H$448:$H$480,B28:B438,[1]GL!$J$448:$J$487)</f>
        <v>0</v>
      </c>
      <c r="U28" s="100">
        <f>SUMIF([1]GL!$H$448:$H$480,B28:B438,[1]GL!$K$448:$K$487)</f>
        <v>0</v>
      </c>
      <c r="V28" s="102"/>
      <c r="W28" s="100"/>
      <c r="X28" s="101"/>
      <c r="Y28" s="353"/>
    </row>
    <row r="29" spans="1:25" ht="15.75" hidden="1" customHeight="1">
      <c r="A29" s="93" t="s">
        <v>513</v>
      </c>
      <c r="B29" s="513">
        <v>137</v>
      </c>
      <c r="C29" s="94">
        <f t="shared" si="3"/>
        <v>0</v>
      </c>
      <c r="D29" s="94"/>
      <c r="E29" s="95"/>
      <c r="F29" s="648">
        <v>0</v>
      </c>
      <c r="G29" s="649"/>
      <c r="H29" s="96">
        <v>0</v>
      </c>
      <c r="I29" s="98">
        <f t="shared" si="0"/>
        <v>0</v>
      </c>
      <c r="J29" s="98">
        <f t="shared" si="0"/>
        <v>0</v>
      </c>
      <c r="K29" s="96">
        <f t="shared" si="1"/>
        <v>0</v>
      </c>
      <c r="L29" s="96"/>
      <c r="M29" s="96">
        <f t="shared" si="2"/>
        <v>0</v>
      </c>
      <c r="N29" s="107">
        <f>SUMIF([1]CRJ!$H$880:$H$894,B29:B434,[1]CRJ!$J$880:$J$894)</f>
        <v>0</v>
      </c>
      <c r="O29" s="100">
        <f>SUMIF([1]CRJ!$H$880:$H$894,B29:B434,[1]CRJ!$K$880:$K$894)</f>
        <v>0</v>
      </c>
      <c r="P29" s="100">
        <f>SUMIF([1]ChkDJ!$H$849:$H$867,B29:B434,[1]ChkDJ!$J$849:$J$867)</f>
        <v>0</v>
      </c>
      <c r="Q29" s="100">
        <f>SUMIF([1]ChkDJ!$H$849:$H$867,B29:B434,[1]ChkDJ!$K$849:$K$867)</f>
        <v>0</v>
      </c>
      <c r="R29" s="100">
        <f>SUMIF([1]CDJ!$H$190:$H$197,B29:B434,[1]CDJ!$J$190:$J$197)</f>
        <v>0</v>
      </c>
      <c r="S29" s="100">
        <f>SUMIF([1]CDJ!$H$190:$H$197,B29:B434,[1]CDJ!$K$190:$K$197)</f>
        <v>0</v>
      </c>
      <c r="T29" s="102">
        <f>SUMIF([1]GL!$H$448:$H$480,B29:B439,[1]GL!$J$448:$J$487)</f>
        <v>0</v>
      </c>
      <c r="U29" s="100">
        <f>SUMIF([1]GL!$H$448:$H$480,B29:B439,[1]GL!$K$448:$K$487)</f>
        <v>0</v>
      </c>
      <c r="V29" s="102"/>
      <c r="W29" s="100"/>
      <c r="X29" s="101"/>
      <c r="Y29" s="353"/>
    </row>
    <row r="30" spans="1:25" ht="15.75" hidden="1" customHeight="1">
      <c r="A30" s="93" t="s">
        <v>814</v>
      </c>
      <c r="B30" s="513">
        <v>138</v>
      </c>
      <c r="C30" s="94">
        <f t="shared" si="3"/>
        <v>0</v>
      </c>
      <c r="D30" s="94"/>
      <c r="E30" s="95"/>
      <c r="F30" s="648"/>
      <c r="G30" s="649"/>
      <c r="H30" s="96"/>
      <c r="I30" s="98">
        <f t="shared" si="0"/>
        <v>0</v>
      </c>
      <c r="J30" s="98">
        <f t="shared" si="0"/>
        <v>0</v>
      </c>
      <c r="K30" s="96"/>
      <c r="L30" s="96"/>
      <c r="M30" s="96"/>
      <c r="N30" s="107">
        <f>SUMIF([1]CRJ!$H$880:$H$894,B30:B435,[1]CRJ!$J$880:$J$894)</f>
        <v>0</v>
      </c>
      <c r="O30" s="100">
        <f>SUMIF([1]CRJ!$H$880:$H$894,B30:B435,[1]CRJ!$K$880:$K$894)</f>
        <v>0</v>
      </c>
      <c r="P30" s="100">
        <f>SUMIF([1]ChkDJ!$H$849:$H$867,B30:B435,[1]ChkDJ!$J$849:$J$867)</f>
        <v>0</v>
      </c>
      <c r="Q30" s="100">
        <f>SUMIF([1]ChkDJ!$H$849:$H$867,B30:B435,[1]ChkDJ!$K$849:$K$867)</f>
        <v>0</v>
      </c>
      <c r="R30" s="100">
        <f>SUMIF([1]CDJ!$H$190:$H$197,B30:B435,[1]CDJ!$J$190:$J$197)</f>
        <v>0</v>
      </c>
      <c r="S30" s="100">
        <f>SUMIF([1]CDJ!$H$190:$H$197,B30:B435,[1]CDJ!$K$190:$K$197)</f>
        <v>0</v>
      </c>
      <c r="T30" s="102">
        <f>SUMIF([1]GL!$H$448:$H$480,B30:B440,[1]GL!$J$448:$J$487)</f>
        <v>0</v>
      </c>
      <c r="U30" s="100">
        <f>SUMIF([1]GL!$H$448:$H$480,B30:B440,[1]GL!$K$448:$K$487)</f>
        <v>0</v>
      </c>
      <c r="V30" s="102"/>
      <c r="W30" s="100"/>
      <c r="X30" s="101"/>
      <c r="Y30" s="353"/>
    </row>
    <row r="31" spans="1:25" ht="15.75">
      <c r="A31" s="93" t="s">
        <v>293</v>
      </c>
      <c r="B31" s="513">
        <v>139</v>
      </c>
      <c r="C31" s="94">
        <f t="shared" si="3"/>
        <v>2100000</v>
      </c>
      <c r="D31" s="94"/>
      <c r="E31" s="95"/>
      <c r="F31" s="648">
        <v>2100000</v>
      </c>
      <c r="G31" s="649"/>
      <c r="H31" s="96">
        <v>0</v>
      </c>
      <c r="I31" s="98">
        <f t="shared" si="0"/>
        <v>0</v>
      </c>
      <c r="J31" s="98">
        <f t="shared" si="0"/>
        <v>0</v>
      </c>
      <c r="K31" s="96">
        <f t="shared" si="1"/>
        <v>2100000</v>
      </c>
      <c r="L31" s="96"/>
      <c r="M31" s="96">
        <f t="shared" si="2"/>
        <v>0</v>
      </c>
      <c r="N31" s="107">
        <f>SUMIF([1]CRJ!$H$880:$H$894,B31:B436,[1]CRJ!$J$880:$J$894)</f>
        <v>0</v>
      </c>
      <c r="O31" s="100">
        <f>SUMIF([1]CRJ!$H$880:$H$894,B31:B436,[1]CRJ!$K$880:$K$894)</f>
        <v>0</v>
      </c>
      <c r="P31" s="100">
        <f>SUMIF([1]ChkDJ!$H$849:$H$867,B31:B436,[1]ChkDJ!$J$849:$J$867)</f>
        <v>0</v>
      </c>
      <c r="Q31" s="100">
        <f>SUMIF([1]ChkDJ!$H$849:$H$867,B31:B436,[1]ChkDJ!$K$849:$K$867)</f>
        <v>0</v>
      </c>
      <c r="R31" s="100">
        <f>SUMIF([1]CDJ!$H$190:$H$197,B31:B436,[1]CDJ!$J$190:$J$197)</f>
        <v>0</v>
      </c>
      <c r="S31" s="100">
        <f>SUMIF([1]CDJ!$H$190:$H$197,B31:B436,[1]CDJ!$K$190:$K$197)</f>
        <v>0</v>
      </c>
      <c r="T31" s="102">
        <f>SUMIF([1]GL!$H$448:$H$480,B31:B441,[1]GL!$J$448:$J$487)</f>
        <v>0</v>
      </c>
      <c r="U31" s="100">
        <f>SUMIF([1]GL!$H$448:$H$480,B31:B441,[1]GL!$K$448:$K$487)</f>
        <v>0</v>
      </c>
      <c r="V31" s="102"/>
      <c r="W31" s="100"/>
      <c r="X31" s="101"/>
      <c r="Y31" s="353"/>
    </row>
    <row r="32" spans="1:25" ht="15.75">
      <c r="A32" s="93" t="s">
        <v>23</v>
      </c>
      <c r="B32" s="513">
        <v>144</v>
      </c>
      <c r="C32" s="94">
        <f t="shared" si="3"/>
        <v>20841.53</v>
      </c>
      <c r="D32" s="94"/>
      <c r="E32" s="95"/>
      <c r="F32" s="648">
        <v>188829.18</v>
      </c>
      <c r="G32" s="649"/>
      <c r="H32" s="96">
        <v>173327.87</v>
      </c>
      <c r="I32" s="98">
        <f t="shared" si="0"/>
        <v>5340.22</v>
      </c>
      <c r="J32" s="98">
        <f t="shared" si="0"/>
        <v>0</v>
      </c>
      <c r="K32" s="96">
        <f t="shared" si="1"/>
        <v>194169.4</v>
      </c>
      <c r="L32" s="96"/>
      <c r="M32" s="96">
        <f t="shared" si="2"/>
        <v>173327.87</v>
      </c>
      <c r="N32" s="107">
        <f>SUMIF([1]CRJ!$H$880:$H$894,B32:B437,[1]CRJ!$J$880:$J$894)</f>
        <v>5340.22</v>
      </c>
      <c r="O32" s="100">
        <f>SUMIF([1]CRJ!$H$880:$H$894,B32:B437,[1]CRJ!$K$880:$K$894)</f>
        <v>0</v>
      </c>
      <c r="P32" s="100">
        <f>SUMIF([1]ChkDJ!$H$849:$H$867,B32:B437,[1]ChkDJ!$J$849:$J$867)</f>
        <v>0</v>
      </c>
      <c r="Q32" s="100">
        <f>SUMIF([1]ChkDJ!$H$849:$H$867,B32:B437,[1]ChkDJ!$K$849:$K$867)</f>
        <v>0</v>
      </c>
      <c r="R32" s="100">
        <f>SUMIF([1]CDJ!$H$190:$H$197,B32:B437,[1]CDJ!$J$190:$J$197)</f>
        <v>0</v>
      </c>
      <c r="S32" s="100">
        <f>SUMIF([1]CDJ!$H$190:$H$197,B32:B437,[1]CDJ!$K$190:$K$197)</f>
        <v>0</v>
      </c>
      <c r="T32" s="102">
        <f>SUMIF([1]GL!$H$448:$H$480,B32:B442,[1]GL!$J$448:$J$487)</f>
        <v>0</v>
      </c>
      <c r="U32" s="100">
        <f>SUMIF([1]GL!$H$448:$H$480,B32:B442,[1]GL!$K$448:$K$487)</f>
        <v>0</v>
      </c>
      <c r="V32" s="102"/>
      <c r="W32" s="100"/>
      <c r="X32" s="101"/>
      <c r="Y32" s="353"/>
    </row>
    <row r="33" spans="1:25" ht="15.75">
      <c r="A33" s="93" t="s">
        <v>24</v>
      </c>
      <c r="B33" s="513">
        <v>146</v>
      </c>
      <c r="C33" s="94">
        <f t="shared" si="3"/>
        <v>82016.209999999963</v>
      </c>
      <c r="D33" s="94"/>
      <c r="E33" s="95"/>
      <c r="F33" s="648">
        <v>82016.209999999963</v>
      </c>
      <c r="G33" s="649"/>
      <c r="H33" s="96">
        <v>0</v>
      </c>
      <c r="I33" s="98">
        <f t="shared" si="0"/>
        <v>0</v>
      </c>
      <c r="J33" s="98">
        <f t="shared" si="0"/>
        <v>0</v>
      </c>
      <c r="K33" s="96">
        <f t="shared" si="1"/>
        <v>82016.209999999963</v>
      </c>
      <c r="L33" s="96"/>
      <c r="M33" s="96">
        <f t="shared" si="2"/>
        <v>0</v>
      </c>
      <c r="N33" s="107">
        <f>SUMIF([1]CRJ!$H$880:$H$894,B33:B438,[1]CRJ!$J$880:$J$894)</f>
        <v>0</v>
      </c>
      <c r="O33" s="100">
        <f>SUMIF([1]CRJ!$H$880:$H$894,B33:B438,[1]CRJ!$K$880:$K$894)</f>
        <v>0</v>
      </c>
      <c r="P33" s="100">
        <f>SUMIF([1]ChkDJ!$H$849:$H$867,B33:B438,[1]ChkDJ!$J$849:$J$867)</f>
        <v>0</v>
      </c>
      <c r="Q33" s="100">
        <f>SUMIF([1]ChkDJ!$H$849:$H$867,B33:B438,[1]ChkDJ!$K$849:$K$867)</f>
        <v>0</v>
      </c>
      <c r="R33" s="100">
        <f>SUMIF([1]CDJ!$H$190:$H$197,B33:B438,[1]CDJ!$J$190:$J$197)</f>
        <v>0</v>
      </c>
      <c r="S33" s="100">
        <f>SUMIF([1]CDJ!$H$190:$H$197,B33:B438,[1]CDJ!$K$190:$K$197)</f>
        <v>0</v>
      </c>
      <c r="T33" s="102">
        <f>SUMIF([1]GL!$H$448:$H$480,B33:B443,[1]GL!$J$448:$J$487)</f>
        <v>0</v>
      </c>
      <c r="U33" s="100">
        <f>SUMIF([1]GL!$H$448:$H$480,B33:B443,[1]GL!$K$448:$K$487)</f>
        <v>0</v>
      </c>
      <c r="V33" s="102"/>
      <c r="W33" s="100"/>
      <c r="X33" s="101"/>
      <c r="Y33" s="353"/>
    </row>
    <row r="34" spans="1:25" ht="15.75">
      <c r="A34" s="93" t="s">
        <v>330</v>
      </c>
      <c r="B34" s="513">
        <v>148</v>
      </c>
      <c r="C34" s="94">
        <f t="shared" si="3"/>
        <v>849005.01000000164</v>
      </c>
      <c r="D34" s="94"/>
      <c r="E34" s="95"/>
      <c r="F34" s="648">
        <v>10113763.520000001</v>
      </c>
      <c r="G34" s="649"/>
      <c r="H34" s="96">
        <v>3913853.5199999996</v>
      </c>
      <c r="I34" s="98">
        <f t="shared" si="0"/>
        <v>206327.15</v>
      </c>
      <c r="J34" s="98">
        <f t="shared" si="0"/>
        <v>5557232.1400000006</v>
      </c>
      <c r="K34" s="96">
        <f t="shared" si="1"/>
        <v>10320090.670000002</v>
      </c>
      <c r="L34" s="96"/>
      <c r="M34" s="96">
        <f t="shared" si="2"/>
        <v>9471085.6600000001</v>
      </c>
      <c r="N34" s="107">
        <f>SUMIF([1]CRJ!$H$880:$H$894,B34:B439,[1]CRJ!$J$880:$J$894)</f>
        <v>0</v>
      </c>
      <c r="O34" s="100">
        <f>SUMIF([1]CRJ!$H$880:$H$894,B34:B439,[1]CRJ!$K$880:$K$894)</f>
        <v>4800</v>
      </c>
      <c r="P34" s="100">
        <f>SUMIF([1]ChkDJ!$H$849:$H$867,B34:B439,[1]ChkDJ!$J$849:$J$867)</f>
        <v>206327.15</v>
      </c>
      <c r="Q34" s="100">
        <f>SUMIF([1]ChkDJ!$H$849:$H$867,B34:B439,[1]ChkDJ!$K$849:$K$867)</f>
        <v>0</v>
      </c>
      <c r="R34" s="100">
        <f>SUMIF([1]CDJ!$H$190:$H$197,B34:B439,[1]CDJ!$J$190:$J$197)</f>
        <v>0</v>
      </c>
      <c r="S34" s="100">
        <f>SUMIF([1]CDJ!$H$190:$H$197,B34:B439,[1]CDJ!$K$190:$K$197)</f>
        <v>5552432.1400000006</v>
      </c>
      <c r="T34" s="102">
        <f>SUMIF([1]GL!$H$448:$H$480,B34:B444,[1]GL!$J$448:$J$487)</f>
        <v>0</v>
      </c>
      <c r="U34" s="100">
        <f>SUMIF([1]GL!$H$448:$H$480,B34:B444,[1]GL!$K$448:$K$487)</f>
        <v>0</v>
      </c>
      <c r="V34" s="102"/>
      <c r="W34" s="100"/>
      <c r="X34" s="101"/>
      <c r="Y34" s="353"/>
    </row>
    <row r="35" spans="1:25" ht="15.75">
      <c r="A35" s="93" t="s">
        <v>80</v>
      </c>
      <c r="B35" s="513">
        <v>149</v>
      </c>
      <c r="C35" s="94">
        <f t="shared" si="3"/>
        <v>152.09</v>
      </c>
      <c r="D35" s="94"/>
      <c r="E35" s="95"/>
      <c r="F35" s="648">
        <v>152.09</v>
      </c>
      <c r="G35" s="649"/>
      <c r="H35" s="96">
        <v>0</v>
      </c>
      <c r="I35" s="98">
        <f t="shared" si="0"/>
        <v>0</v>
      </c>
      <c r="J35" s="98">
        <f t="shared" si="0"/>
        <v>0</v>
      </c>
      <c r="K35" s="96">
        <f t="shared" si="1"/>
        <v>152.09</v>
      </c>
      <c r="L35" s="96"/>
      <c r="M35" s="96">
        <f t="shared" si="2"/>
        <v>0</v>
      </c>
      <c r="N35" s="107">
        <f>SUMIF([1]CRJ!$H$880:$H$894,B35:B440,[1]CRJ!$J$880:$J$894)</f>
        <v>0</v>
      </c>
      <c r="O35" s="100">
        <f>SUMIF([1]CRJ!$H$880:$H$894,B35:B440,[1]CRJ!$K$880:$K$894)</f>
        <v>0</v>
      </c>
      <c r="P35" s="100">
        <f>SUMIF([1]ChkDJ!$H$849:$H$867,B35:B440,[1]ChkDJ!$J$849:$J$867)</f>
        <v>0</v>
      </c>
      <c r="Q35" s="100">
        <f>SUMIF([1]ChkDJ!$H$849:$H$867,B35:B440,[1]ChkDJ!$K$849:$K$867)</f>
        <v>0</v>
      </c>
      <c r="R35" s="100">
        <f>SUMIF([1]CDJ!$H$190:$H$197,B35:B440,[1]CDJ!$J$190:$J$197)</f>
        <v>0</v>
      </c>
      <c r="S35" s="100">
        <f>SUMIF([1]CDJ!$H$190:$H$197,B35:B440,[1]CDJ!$K$190:$K$197)</f>
        <v>0</v>
      </c>
      <c r="T35" s="102">
        <f>SUMIF([1]GL!$H$448:$H$480,B35:B445,[1]GL!$J$448:$J$487)</f>
        <v>0</v>
      </c>
      <c r="U35" s="100">
        <f>SUMIF([1]GL!$H$448:$H$480,B35:B445,[1]GL!$K$448:$K$487)</f>
        <v>0</v>
      </c>
      <c r="V35" s="102"/>
      <c r="W35" s="100"/>
      <c r="X35" s="101"/>
      <c r="Y35" s="353"/>
    </row>
    <row r="36" spans="1:25" s="344" customFormat="1" ht="15.75" hidden="1" customHeight="1">
      <c r="A36" s="419" t="s">
        <v>532</v>
      </c>
      <c r="B36" s="423">
        <v>151</v>
      </c>
      <c r="C36" s="420">
        <f>+K36-M36</f>
        <v>0</v>
      </c>
      <c r="D36" s="420"/>
      <c r="E36" s="420"/>
      <c r="F36" s="650">
        <v>0</v>
      </c>
      <c r="G36" s="651"/>
      <c r="H36" s="593">
        <v>0</v>
      </c>
      <c r="I36" s="98">
        <f t="shared" si="0"/>
        <v>0</v>
      </c>
      <c r="J36" s="98">
        <f t="shared" si="0"/>
        <v>0</v>
      </c>
      <c r="K36" s="96">
        <f t="shared" si="1"/>
        <v>0</v>
      </c>
      <c r="L36" s="96"/>
      <c r="M36" s="96">
        <f t="shared" si="2"/>
        <v>0</v>
      </c>
      <c r="N36" s="107">
        <f>SUMIF([1]CRJ!$H$880:$H$894,B36:B441,[1]CRJ!$J$880:$J$894)</f>
        <v>0</v>
      </c>
      <c r="O36" s="100">
        <f>SUMIF([1]CRJ!$H$880:$H$894,B36:B441,[1]CRJ!$K$880:$K$894)</f>
        <v>0</v>
      </c>
      <c r="P36" s="100">
        <f>SUMIF([1]ChkDJ!$H$849:$H$867,B36:B441,[1]ChkDJ!$J$849:$J$867)</f>
        <v>0</v>
      </c>
      <c r="Q36" s="100">
        <f>SUMIF([1]ChkDJ!$H$849:$H$867,B36:B441,[1]ChkDJ!$K$849:$K$867)</f>
        <v>0</v>
      </c>
      <c r="R36" s="100">
        <f>SUMIF([1]CDJ!$H$190:$H$197,B36:B441,[1]CDJ!$J$190:$J$197)</f>
        <v>0</v>
      </c>
      <c r="S36" s="100">
        <f>SUMIF([1]CDJ!$H$190:$H$197,B36:B441,[1]CDJ!$K$190:$K$197)</f>
        <v>0</v>
      </c>
      <c r="T36" s="102">
        <f>SUMIF([1]GL!$H$448:$H$480,B36:B446,[1]GL!$J$448:$J$487)</f>
        <v>0</v>
      </c>
      <c r="U36" s="100">
        <f>SUMIF([1]GL!$H$448:$H$480,B36:B446,[1]GL!$K$448:$K$487)</f>
        <v>0</v>
      </c>
      <c r="V36" s="102"/>
      <c r="W36" s="100"/>
      <c r="X36" s="101"/>
      <c r="Y36" s="353"/>
    </row>
    <row r="37" spans="1:25" s="344" customFormat="1" ht="15.75" hidden="1" customHeight="1">
      <c r="A37" s="419" t="s">
        <v>531</v>
      </c>
      <c r="B37" s="423">
        <v>152</v>
      </c>
      <c r="C37" s="420">
        <f>+K37-M37</f>
        <v>0</v>
      </c>
      <c r="D37" s="420"/>
      <c r="E37" s="420"/>
      <c r="F37" s="650">
        <v>0</v>
      </c>
      <c r="G37" s="651"/>
      <c r="H37" s="593">
        <v>0</v>
      </c>
      <c r="I37" s="98">
        <f t="shared" si="0"/>
        <v>0</v>
      </c>
      <c r="J37" s="98">
        <f t="shared" si="0"/>
        <v>0</v>
      </c>
      <c r="K37" s="96">
        <f t="shared" si="1"/>
        <v>0</v>
      </c>
      <c r="L37" s="96"/>
      <c r="M37" s="96">
        <f t="shared" si="2"/>
        <v>0</v>
      </c>
      <c r="N37" s="107">
        <f>SUMIF([1]CRJ!$H$880:$H$894,B37:B442,[1]CRJ!$J$880:$J$894)</f>
        <v>0</v>
      </c>
      <c r="O37" s="100">
        <f>SUMIF([1]CRJ!$H$880:$H$894,B37:B442,[1]CRJ!$K$880:$K$894)</f>
        <v>0</v>
      </c>
      <c r="P37" s="100">
        <f>SUMIF([1]ChkDJ!$H$849:$H$867,B37:B442,[1]ChkDJ!$J$849:$J$867)</f>
        <v>0</v>
      </c>
      <c r="Q37" s="100">
        <f>SUMIF([1]ChkDJ!$H$849:$H$867,B37:B442,[1]ChkDJ!$K$849:$K$867)</f>
        <v>0</v>
      </c>
      <c r="R37" s="100">
        <f>SUMIF([1]CDJ!$H$190:$H$197,B37:B442,[1]CDJ!$J$190:$J$197)</f>
        <v>0</v>
      </c>
      <c r="S37" s="100">
        <f>SUMIF([1]CDJ!$H$190:$H$197,B37:B442,[1]CDJ!$K$190:$K$197)</f>
        <v>0</v>
      </c>
      <c r="T37" s="102">
        <f>SUMIF([1]GL!$H$448:$H$480,B37:B447,[1]GL!$J$448:$J$487)</f>
        <v>0</v>
      </c>
      <c r="U37" s="100">
        <f>SUMIF([1]GL!$H$448:$H$480,B37:B447,[1]GL!$K$448:$K$487)</f>
        <v>0</v>
      </c>
      <c r="V37" s="102"/>
      <c r="W37" s="100"/>
      <c r="X37" s="101"/>
      <c r="Y37" s="353"/>
    </row>
    <row r="38" spans="1:25" s="344" customFormat="1" ht="15.75" hidden="1" customHeight="1">
      <c r="A38" s="419" t="s">
        <v>530</v>
      </c>
      <c r="B38" s="423">
        <v>153</v>
      </c>
      <c r="C38" s="420">
        <f>+K38-M38</f>
        <v>0</v>
      </c>
      <c r="D38" s="420"/>
      <c r="E38" s="420"/>
      <c r="F38" s="650">
        <v>0</v>
      </c>
      <c r="G38" s="651"/>
      <c r="H38" s="593">
        <v>0</v>
      </c>
      <c r="I38" s="98">
        <f t="shared" si="0"/>
        <v>0</v>
      </c>
      <c r="J38" s="98">
        <f t="shared" si="0"/>
        <v>0</v>
      </c>
      <c r="K38" s="96">
        <f t="shared" si="1"/>
        <v>0</v>
      </c>
      <c r="L38" s="96"/>
      <c r="M38" s="96">
        <f t="shared" si="2"/>
        <v>0</v>
      </c>
      <c r="N38" s="107">
        <f>SUMIF([1]CRJ!$H$880:$H$894,B38:B443,[1]CRJ!$J$880:$J$894)</f>
        <v>0</v>
      </c>
      <c r="O38" s="100">
        <f>SUMIF([1]CRJ!$H$880:$H$894,B38:B443,[1]CRJ!$K$880:$K$894)</f>
        <v>0</v>
      </c>
      <c r="P38" s="100">
        <f>SUMIF([1]ChkDJ!$H$849:$H$867,B38:B443,[1]ChkDJ!$J$849:$J$867)</f>
        <v>0</v>
      </c>
      <c r="Q38" s="100">
        <f>SUMIF([1]ChkDJ!$H$849:$H$867,B38:B443,[1]ChkDJ!$K$849:$K$867)</f>
        <v>0</v>
      </c>
      <c r="R38" s="100">
        <f>SUMIF([1]CDJ!$H$190:$H$197,B38:B443,[1]CDJ!$J$190:$J$197)</f>
        <v>0</v>
      </c>
      <c r="S38" s="100">
        <f>SUMIF([1]CDJ!$H$190:$H$197,B38:B443,[1]CDJ!$K$190:$K$197)</f>
        <v>0</v>
      </c>
      <c r="T38" s="102">
        <f>SUMIF([1]GL!$H$448:$H$480,B38:B448,[1]GL!$J$448:$J$487)</f>
        <v>0</v>
      </c>
      <c r="U38" s="100">
        <f>SUMIF([1]GL!$H$448:$H$480,B38:B448,[1]GL!$K$448:$K$487)</f>
        <v>0</v>
      </c>
      <c r="V38" s="102"/>
      <c r="W38" s="100"/>
      <c r="X38" s="101"/>
      <c r="Y38" s="353"/>
    </row>
    <row r="39" spans="1:25" s="344" customFormat="1" ht="15.75" hidden="1" customHeight="1">
      <c r="A39" s="419" t="s">
        <v>529</v>
      </c>
      <c r="B39" s="423">
        <v>154</v>
      </c>
      <c r="C39" s="420">
        <f>+K39-M39</f>
        <v>0</v>
      </c>
      <c r="D39" s="420"/>
      <c r="E39" s="420"/>
      <c r="F39" s="650">
        <v>0</v>
      </c>
      <c r="G39" s="651"/>
      <c r="H39" s="593">
        <v>0</v>
      </c>
      <c r="I39" s="98">
        <f t="shared" si="0"/>
        <v>0</v>
      </c>
      <c r="J39" s="98">
        <f t="shared" si="0"/>
        <v>0</v>
      </c>
      <c r="K39" s="96">
        <f t="shared" si="1"/>
        <v>0</v>
      </c>
      <c r="L39" s="96"/>
      <c r="M39" s="96">
        <f t="shared" si="2"/>
        <v>0</v>
      </c>
      <c r="N39" s="107">
        <f>SUMIF([1]CRJ!$H$880:$H$894,B39:B444,[1]CRJ!$J$880:$J$894)</f>
        <v>0</v>
      </c>
      <c r="O39" s="100">
        <f>SUMIF([1]CRJ!$H$880:$H$894,B39:B444,[1]CRJ!$K$880:$K$894)</f>
        <v>0</v>
      </c>
      <c r="P39" s="100">
        <f>SUMIF([1]ChkDJ!$H$849:$H$867,B39:B444,[1]ChkDJ!$J$849:$J$867)</f>
        <v>0</v>
      </c>
      <c r="Q39" s="100">
        <f>SUMIF([1]ChkDJ!$H$849:$H$867,B39:B444,[1]ChkDJ!$K$849:$K$867)</f>
        <v>0</v>
      </c>
      <c r="R39" s="100">
        <f>SUMIF([1]CDJ!$H$190:$H$197,B39:B444,[1]CDJ!$J$190:$J$197)</f>
        <v>0</v>
      </c>
      <c r="S39" s="100">
        <f>SUMIF([1]CDJ!$H$190:$H$197,B39:B444,[1]CDJ!$K$190:$K$197)</f>
        <v>0</v>
      </c>
      <c r="T39" s="102">
        <f>SUMIF([1]GL!$H$448:$H$480,B39:B449,[1]GL!$J$448:$J$487)</f>
        <v>0</v>
      </c>
      <c r="U39" s="100">
        <f>SUMIF([1]GL!$H$448:$H$480,B39:B449,[1]GL!$K$448:$K$487)</f>
        <v>0</v>
      </c>
      <c r="V39" s="102"/>
      <c r="W39" s="100"/>
      <c r="X39" s="101"/>
      <c r="Y39" s="353"/>
    </row>
    <row r="40" spans="1:25" ht="15.75" customHeight="1">
      <c r="A40" s="93" t="s">
        <v>25</v>
      </c>
      <c r="B40" s="513">
        <v>155</v>
      </c>
      <c r="C40" s="94">
        <f t="shared" si="3"/>
        <v>55961.95</v>
      </c>
      <c r="D40" s="94"/>
      <c r="E40" s="95"/>
      <c r="F40" s="648">
        <v>55961.95</v>
      </c>
      <c r="G40" s="649"/>
      <c r="H40" s="96">
        <v>0</v>
      </c>
      <c r="I40" s="98">
        <f t="shared" si="0"/>
        <v>0</v>
      </c>
      <c r="J40" s="98">
        <f t="shared" si="0"/>
        <v>0</v>
      </c>
      <c r="K40" s="96">
        <f t="shared" si="1"/>
        <v>55961.95</v>
      </c>
      <c r="L40" s="96"/>
      <c r="M40" s="96">
        <f t="shared" si="2"/>
        <v>0</v>
      </c>
      <c r="N40" s="107">
        <f>SUMIF([1]CRJ!$H$880:$H$894,B40:B445,[1]CRJ!$J$880:$J$894)</f>
        <v>0</v>
      </c>
      <c r="O40" s="100">
        <f>SUMIF([1]CRJ!$H$880:$H$894,B40:B445,[1]CRJ!$K$880:$K$894)</f>
        <v>0</v>
      </c>
      <c r="P40" s="100">
        <f>SUMIF([1]ChkDJ!$H$849:$H$867,B40:B445,[1]ChkDJ!$J$849:$J$867)</f>
        <v>0</v>
      </c>
      <c r="Q40" s="100">
        <f>SUMIF([1]ChkDJ!$H$849:$H$867,B40:B445,[1]ChkDJ!$K$849:$K$867)</f>
        <v>0</v>
      </c>
      <c r="R40" s="100">
        <f>SUMIF([1]CDJ!$H$190:$H$197,B40:B445,[1]CDJ!$J$190:$J$197)</f>
        <v>0</v>
      </c>
      <c r="S40" s="100">
        <f>SUMIF([1]CDJ!$H$190:$H$197,B40:B445,[1]CDJ!$K$190:$K$197)</f>
        <v>0</v>
      </c>
      <c r="T40" s="102">
        <f>SUMIF([1]GL!$H$448:$H$480,B40:B450,[1]GL!$J$448:$J$487)</f>
        <v>0</v>
      </c>
      <c r="U40" s="100">
        <f>SUMIF([1]GL!$H$448:$H$480,B40:B450,[1]GL!$K$448:$K$487)</f>
        <v>0</v>
      </c>
      <c r="V40" s="102"/>
      <c r="W40" s="100"/>
      <c r="X40" s="101"/>
      <c r="Y40" s="353"/>
    </row>
    <row r="41" spans="1:25" s="344" customFormat="1" ht="15.75" hidden="1" customHeight="1">
      <c r="A41" s="419" t="s">
        <v>533</v>
      </c>
      <c r="B41" s="423">
        <v>156</v>
      </c>
      <c r="C41" s="94">
        <f t="shared" si="3"/>
        <v>0</v>
      </c>
      <c r="D41" s="94"/>
      <c r="E41" s="420"/>
      <c r="F41" s="650">
        <v>0</v>
      </c>
      <c r="G41" s="651"/>
      <c r="H41" s="593">
        <v>0</v>
      </c>
      <c r="I41" s="98">
        <f t="shared" si="0"/>
        <v>0</v>
      </c>
      <c r="J41" s="98">
        <f t="shared" si="0"/>
        <v>0</v>
      </c>
      <c r="K41" s="96">
        <f t="shared" si="1"/>
        <v>0</v>
      </c>
      <c r="L41" s="96"/>
      <c r="M41" s="96">
        <f t="shared" si="2"/>
        <v>0</v>
      </c>
      <c r="N41" s="107">
        <f>SUMIF([1]CRJ!$H$880:$H$894,B41:B446,[1]CRJ!$J$880:$J$894)</f>
        <v>0</v>
      </c>
      <c r="O41" s="100">
        <f>SUMIF([1]CRJ!$H$880:$H$894,B41:B446,[1]CRJ!$K$880:$K$894)</f>
        <v>0</v>
      </c>
      <c r="P41" s="100">
        <f>SUMIF([1]ChkDJ!$H$849:$H$867,B41:B446,[1]ChkDJ!$J$849:$J$867)</f>
        <v>0</v>
      </c>
      <c r="Q41" s="100">
        <f>SUMIF([1]ChkDJ!$H$849:$H$867,B41:B446,[1]ChkDJ!$K$849:$K$867)</f>
        <v>0</v>
      </c>
      <c r="R41" s="100">
        <f>SUMIF([1]CDJ!$H$190:$H$197,B41:B446,[1]CDJ!$J$190:$J$197)</f>
        <v>0</v>
      </c>
      <c r="S41" s="100">
        <f>SUMIF([1]CDJ!$H$190:$H$197,B41:B446,[1]CDJ!$K$190:$K$197)</f>
        <v>0</v>
      </c>
      <c r="T41" s="102">
        <f>SUMIF([1]GL!$H$448:$H$480,B41:B451,[1]GL!$J$448:$J$487)</f>
        <v>0</v>
      </c>
      <c r="U41" s="100">
        <f>SUMIF([1]GL!$H$448:$H$480,B41:B451,[1]GL!$K$448:$K$487)</f>
        <v>0</v>
      </c>
      <c r="V41" s="102"/>
      <c r="W41" s="100"/>
      <c r="X41" s="101"/>
      <c r="Y41" s="353"/>
    </row>
    <row r="42" spans="1:25" s="344" customFormat="1" ht="15.75" hidden="1" customHeight="1">
      <c r="A42" s="419" t="s">
        <v>534</v>
      </c>
      <c r="B42" s="423">
        <v>157</v>
      </c>
      <c r="C42" s="94">
        <f t="shared" si="3"/>
        <v>0</v>
      </c>
      <c r="D42" s="94"/>
      <c r="E42" s="420"/>
      <c r="F42" s="650">
        <v>0</v>
      </c>
      <c r="G42" s="651"/>
      <c r="H42" s="593">
        <v>0</v>
      </c>
      <c r="I42" s="98">
        <f t="shared" si="0"/>
        <v>0</v>
      </c>
      <c r="J42" s="98">
        <f t="shared" si="0"/>
        <v>0</v>
      </c>
      <c r="K42" s="96">
        <f t="shared" si="1"/>
        <v>0</v>
      </c>
      <c r="L42" s="96"/>
      <c r="M42" s="96">
        <f t="shared" si="2"/>
        <v>0</v>
      </c>
      <c r="N42" s="107">
        <f>SUMIF([1]CRJ!$H$880:$H$894,B42:B447,[1]CRJ!$J$880:$J$894)</f>
        <v>0</v>
      </c>
      <c r="O42" s="100">
        <f>SUMIF([1]CRJ!$H$880:$H$894,B42:B447,[1]CRJ!$K$880:$K$894)</f>
        <v>0</v>
      </c>
      <c r="P42" s="100">
        <f>SUMIF([1]ChkDJ!$H$849:$H$867,B42:B447,[1]ChkDJ!$J$849:$J$867)</f>
        <v>0</v>
      </c>
      <c r="Q42" s="100">
        <f>SUMIF([1]ChkDJ!$H$849:$H$867,B42:B447,[1]ChkDJ!$K$849:$K$867)</f>
        <v>0</v>
      </c>
      <c r="R42" s="100">
        <f>SUMIF([1]CDJ!$H$190:$H$197,B42:B447,[1]CDJ!$J$190:$J$197)</f>
        <v>0</v>
      </c>
      <c r="S42" s="100">
        <f>SUMIF([1]CDJ!$H$190:$H$197,B42:B447,[1]CDJ!$K$190:$K$197)</f>
        <v>0</v>
      </c>
      <c r="T42" s="102">
        <f>SUMIF([1]GL!$H$448:$H$480,B42:B452,[1]GL!$J$448:$J$487)</f>
        <v>0</v>
      </c>
      <c r="U42" s="100">
        <f>SUMIF([1]GL!$H$448:$H$480,B42:B452,[1]GL!$K$448:$K$487)</f>
        <v>0</v>
      </c>
      <c r="V42" s="102"/>
      <c r="W42" s="100"/>
      <c r="X42" s="101"/>
      <c r="Y42" s="353"/>
    </row>
    <row r="43" spans="1:25" s="344" customFormat="1" ht="15.75" hidden="1" customHeight="1">
      <c r="A43" s="419" t="s">
        <v>535</v>
      </c>
      <c r="B43" s="423">
        <v>158</v>
      </c>
      <c r="C43" s="420">
        <f>+K43-M43</f>
        <v>0</v>
      </c>
      <c r="D43" s="420"/>
      <c r="E43" s="420"/>
      <c r="F43" s="650">
        <v>0</v>
      </c>
      <c r="G43" s="651"/>
      <c r="H43" s="593">
        <v>0</v>
      </c>
      <c r="I43" s="98">
        <f t="shared" si="0"/>
        <v>0</v>
      </c>
      <c r="J43" s="98">
        <f t="shared" si="0"/>
        <v>0</v>
      </c>
      <c r="K43" s="96">
        <f t="shared" si="1"/>
        <v>0</v>
      </c>
      <c r="L43" s="96"/>
      <c r="M43" s="96">
        <f t="shared" si="2"/>
        <v>0</v>
      </c>
      <c r="N43" s="107">
        <f>SUMIF([1]CRJ!$H$880:$H$894,B43:B448,[1]CRJ!$J$880:$J$894)</f>
        <v>0</v>
      </c>
      <c r="O43" s="100">
        <f>SUMIF([1]CRJ!$H$880:$H$894,B43:B448,[1]CRJ!$K$880:$K$894)</f>
        <v>0</v>
      </c>
      <c r="P43" s="100">
        <f>SUMIF([1]ChkDJ!$H$849:$H$867,B43:B448,[1]ChkDJ!$J$849:$J$867)</f>
        <v>0</v>
      </c>
      <c r="Q43" s="100">
        <f>SUMIF([1]ChkDJ!$H$849:$H$867,B43:B448,[1]ChkDJ!$K$849:$K$867)</f>
        <v>0</v>
      </c>
      <c r="R43" s="100">
        <f>SUMIF([1]CDJ!$H$190:$H$197,B43:B448,[1]CDJ!$J$190:$J$197)</f>
        <v>0</v>
      </c>
      <c r="S43" s="100">
        <f>SUMIF([1]CDJ!$H$190:$H$197,B43:B448,[1]CDJ!$K$190:$K$197)</f>
        <v>0</v>
      </c>
      <c r="T43" s="102">
        <f>SUMIF([1]GL!$H$448:$H$480,B43:B453,[1]GL!$J$448:$J$487)</f>
        <v>0</v>
      </c>
      <c r="U43" s="100">
        <f>SUMIF([1]GL!$H$448:$H$480,B43:B453,[1]GL!$K$448:$K$487)</f>
        <v>0</v>
      </c>
      <c r="V43" s="102"/>
      <c r="W43" s="100"/>
      <c r="X43" s="101"/>
      <c r="Y43" s="353"/>
    </row>
    <row r="44" spans="1:25" ht="15.75" hidden="1" customHeight="1">
      <c r="A44" s="93" t="s">
        <v>26</v>
      </c>
      <c r="B44" s="513">
        <v>159</v>
      </c>
      <c r="C44" s="94">
        <f t="shared" si="3"/>
        <v>0</v>
      </c>
      <c r="D44" s="94"/>
      <c r="E44" s="95"/>
      <c r="F44" s="648">
        <v>0</v>
      </c>
      <c r="G44" s="649"/>
      <c r="H44" s="96">
        <v>0</v>
      </c>
      <c r="I44" s="98">
        <f t="shared" si="0"/>
        <v>0</v>
      </c>
      <c r="J44" s="98">
        <f t="shared" si="0"/>
        <v>0</v>
      </c>
      <c r="K44" s="96">
        <f t="shared" si="1"/>
        <v>0</v>
      </c>
      <c r="L44" s="96"/>
      <c r="M44" s="96">
        <f t="shared" si="2"/>
        <v>0</v>
      </c>
      <c r="N44" s="107">
        <f>SUMIF([1]CRJ!$H$880:$H$894,B44:B449,[1]CRJ!$J$880:$J$894)</f>
        <v>0</v>
      </c>
      <c r="O44" s="100">
        <f>SUMIF([1]CRJ!$H$880:$H$894,B44:B449,[1]CRJ!$K$880:$K$894)</f>
        <v>0</v>
      </c>
      <c r="P44" s="100">
        <f>SUMIF([1]ChkDJ!$H$849:$H$867,B44:B449,[1]ChkDJ!$J$849:$J$867)</f>
        <v>0</v>
      </c>
      <c r="Q44" s="100">
        <f>SUMIF([1]ChkDJ!$H$849:$H$867,B44:B449,[1]ChkDJ!$K$849:$K$867)</f>
        <v>0</v>
      </c>
      <c r="R44" s="100">
        <f>SUMIF([1]CDJ!$H$190:$H$197,B44:B449,[1]CDJ!$J$190:$J$197)</f>
        <v>0</v>
      </c>
      <c r="S44" s="100">
        <f>SUMIF([1]CDJ!$H$190:$H$197,B44:B449,[1]CDJ!$K$190:$K$197)</f>
        <v>0</v>
      </c>
      <c r="T44" s="102">
        <f>SUMIF([1]GL!$H$448:$H$480,B44:B454,[1]GL!$J$448:$J$487)</f>
        <v>0</v>
      </c>
      <c r="U44" s="100">
        <f>SUMIF([1]GL!$H$448:$H$480,B44:B454,[1]GL!$K$448:$K$487)</f>
        <v>0</v>
      </c>
      <c r="V44" s="102"/>
      <c r="W44" s="100"/>
      <c r="X44" s="101"/>
      <c r="Y44" s="353"/>
    </row>
    <row r="45" spans="1:25" ht="15.75" hidden="1" customHeight="1">
      <c r="A45" s="93" t="s">
        <v>85</v>
      </c>
      <c r="B45" s="513">
        <v>160</v>
      </c>
      <c r="C45" s="94">
        <f t="shared" si="3"/>
        <v>0</v>
      </c>
      <c r="D45" s="94"/>
      <c r="E45" s="95"/>
      <c r="F45" s="648">
        <v>0</v>
      </c>
      <c r="G45" s="649"/>
      <c r="H45" s="96">
        <v>0</v>
      </c>
      <c r="I45" s="98">
        <f t="shared" si="0"/>
        <v>0</v>
      </c>
      <c r="J45" s="98">
        <f t="shared" si="0"/>
        <v>0</v>
      </c>
      <c r="K45" s="96">
        <f t="shared" si="1"/>
        <v>0</v>
      </c>
      <c r="L45" s="96"/>
      <c r="M45" s="96">
        <f t="shared" si="2"/>
        <v>0</v>
      </c>
      <c r="N45" s="107">
        <f>SUMIF([1]CRJ!$H$880:$H$894,B45:B450,[1]CRJ!$J$880:$J$894)</f>
        <v>0</v>
      </c>
      <c r="O45" s="100">
        <f>SUMIF([1]CRJ!$H$880:$H$894,B45:B450,[1]CRJ!$K$880:$K$894)</f>
        <v>0</v>
      </c>
      <c r="P45" s="100">
        <f>SUMIF([1]ChkDJ!$H$849:$H$867,B45:B450,[1]ChkDJ!$J$849:$J$867)</f>
        <v>0</v>
      </c>
      <c r="Q45" s="100">
        <f>SUMIF([1]ChkDJ!$H$849:$H$867,B45:B450,[1]ChkDJ!$K$849:$K$867)</f>
        <v>0</v>
      </c>
      <c r="R45" s="100">
        <f>SUMIF([1]CDJ!$H$190:$H$197,B45:B450,[1]CDJ!$J$190:$J$197)</f>
        <v>0</v>
      </c>
      <c r="S45" s="100">
        <f>SUMIF([1]CDJ!$H$190:$H$197,B45:B450,[1]CDJ!$K$190:$K$197)</f>
        <v>0</v>
      </c>
      <c r="T45" s="102">
        <f>SUMIF([1]GL!$H$448:$H$480,B45:B455,[1]GL!$J$448:$J$487)</f>
        <v>0</v>
      </c>
      <c r="U45" s="100">
        <f>SUMIF([1]GL!$H$448:$H$480,B45:B455,[1]GL!$K$448:$K$487)</f>
        <v>0</v>
      </c>
      <c r="V45" s="102"/>
      <c r="W45" s="100"/>
      <c r="X45" s="101"/>
      <c r="Y45" s="353"/>
    </row>
    <row r="46" spans="1:25" s="344" customFormat="1" ht="15.75" hidden="1" customHeight="1">
      <c r="A46" s="419" t="s">
        <v>536</v>
      </c>
      <c r="B46" s="423">
        <v>161</v>
      </c>
      <c r="C46" s="420">
        <f>+K46-M46</f>
        <v>0</v>
      </c>
      <c r="D46" s="420"/>
      <c r="E46" s="420"/>
      <c r="F46" s="650">
        <v>0</v>
      </c>
      <c r="G46" s="651"/>
      <c r="H46" s="593">
        <v>0</v>
      </c>
      <c r="I46" s="98">
        <f t="shared" si="0"/>
        <v>0</v>
      </c>
      <c r="J46" s="98">
        <f t="shared" si="0"/>
        <v>0</v>
      </c>
      <c r="K46" s="96">
        <f t="shared" si="1"/>
        <v>0</v>
      </c>
      <c r="L46" s="96"/>
      <c r="M46" s="96">
        <f t="shared" si="2"/>
        <v>0</v>
      </c>
      <c r="N46" s="107">
        <f>SUMIF([1]CRJ!$H$880:$H$894,B46:B451,[1]CRJ!$J$880:$J$894)</f>
        <v>0</v>
      </c>
      <c r="O46" s="100">
        <f>SUMIF([1]CRJ!$H$880:$H$894,B46:B451,[1]CRJ!$K$880:$K$894)</f>
        <v>0</v>
      </c>
      <c r="P46" s="100">
        <f>SUMIF([1]ChkDJ!$H$849:$H$867,B46:B451,[1]ChkDJ!$J$849:$J$867)</f>
        <v>0</v>
      </c>
      <c r="Q46" s="100">
        <f>SUMIF([1]ChkDJ!$H$849:$H$867,B46:B451,[1]ChkDJ!$K$849:$K$867)</f>
        <v>0</v>
      </c>
      <c r="R46" s="100">
        <f>SUMIF([1]CDJ!$H$190:$H$197,B46:B451,[1]CDJ!$J$190:$J$197)</f>
        <v>0</v>
      </c>
      <c r="S46" s="100">
        <f>SUMIF([1]CDJ!$H$190:$H$197,B46:B451,[1]CDJ!$K$190:$K$197)</f>
        <v>0</v>
      </c>
      <c r="T46" s="102">
        <f>SUMIF([1]GL!$H$448:$H$480,B46:B456,[1]GL!$J$448:$J$487)</f>
        <v>0</v>
      </c>
      <c r="U46" s="100">
        <f>SUMIF([1]GL!$H$448:$H$480,B46:B456,[1]GL!$K$448:$K$487)</f>
        <v>0</v>
      </c>
      <c r="V46" s="102"/>
      <c r="W46" s="100"/>
      <c r="X46" s="101"/>
      <c r="Y46" s="353"/>
    </row>
    <row r="47" spans="1:25" s="344" customFormat="1" ht="15.75" hidden="1" customHeight="1">
      <c r="A47" s="419" t="s">
        <v>537</v>
      </c>
      <c r="B47" s="423">
        <v>162</v>
      </c>
      <c r="C47" s="420">
        <f>+K47-M47</f>
        <v>0</v>
      </c>
      <c r="D47" s="420"/>
      <c r="E47" s="420"/>
      <c r="F47" s="650">
        <v>0</v>
      </c>
      <c r="G47" s="651"/>
      <c r="H47" s="593">
        <v>0</v>
      </c>
      <c r="I47" s="98">
        <f t="shared" si="0"/>
        <v>0</v>
      </c>
      <c r="J47" s="98">
        <f t="shared" si="0"/>
        <v>0</v>
      </c>
      <c r="K47" s="96">
        <f t="shared" si="1"/>
        <v>0</v>
      </c>
      <c r="L47" s="96"/>
      <c r="M47" s="96">
        <f t="shared" si="2"/>
        <v>0</v>
      </c>
      <c r="N47" s="107">
        <f>SUMIF([1]CRJ!$H$880:$H$894,B47:B452,[1]CRJ!$J$880:$J$894)</f>
        <v>0</v>
      </c>
      <c r="O47" s="100">
        <f>SUMIF([1]CRJ!$H$880:$H$894,B47:B452,[1]CRJ!$K$880:$K$894)</f>
        <v>0</v>
      </c>
      <c r="P47" s="100">
        <f>SUMIF([1]ChkDJ!$H$849:$H$867,B47:B452,[1]ChkDJ!$J$849:$J$867)</f>
        <v>0</v>
      </c>
      <c r="Q47" s="100">
        <f>SUMIF([1]ChkDJ!$H$849:$H$867,B47:B452,[1]ChkDJ!$K$849:$K$867)</f>
        <v>0</v>
      </c>
      <c r="R47" s="100">
        <f>SUMIF([1]CDJ!$H$190:$H$197,B47:B452,[1]CDJ!$J$190:$J$197)</f>
        <v>0</v>
      </c>
      <c r="S47" s="100">
        <f>SUMIF([1]CDJ!$H$190:$H$197,B47:B452,[1]CDJ!$K$190:$K$197)</f>
        <v>0</v>
      </c>
      <c r="T47" s="102">
        <f>SUMIF([1]GL!$H$448:$H$480,B47:B457,[1]GL!$J$448:$J$487)</f>
        <v>0</v>
      </c>
      <c r="U47" s="100">
        <f>SUMIF([1]GL!$H$448:$H$480,B47:B457,[1]GL!$K$448:$K$487)</f>
        <v>0</v>
      </c>
      <c r="V47" s="102"/>
      <c r="W47" s="100"/>
      <c r="X47" s="101"/>
      <c r="Y47" s="353"/>
    </row>
    <row r="48" spans="1:25" ht="15.75" hidden="1" customHeight="1">
      <c r="A48" s="93" t="s">
        <v>86</v>
      </c>
      <c r="B48" s="513">
        <v>163</v>
      </c>
      <c r="C48" s="94">
        <f t="shared" si="3"/>
        <v>0</v>
      </c>
      <c r="D48" s="94"/>
      <c r="E48" s="95"/>
      <c r="F48" s="648">
        <v>0</v>
      </c>
      <c r="G48" s="649"/>
      <c r="H48" s="96">
        <v>0</v>
      </c>
      <c r="I48" s="98">
        <f t="shared" si="0"/>
        <v>0</v>
      </c>
      <c r="J48" s="98">
        <f t="shared" si="0"/>
        <v>0</v>
      </c>
      <c r="K48" s="96">
        <f t="shared" si="1"/>
        <v>0</v>
      </c>
      <c r="L48" s="96"/>
      <c r="M48" s="96">
        <f t="shared" si="2"/>
        <v>0</v>
      </c>
      <c r="N48" s="107">
        <f>SUMIF([1]CRJ!$H$880:$H$894,B48:B453,[1]CRJ!$J$880:$J$894)</f>
        <v>0</v>
      </c>
      <c r="O48" s="100">
        <f>SUMIF([1]CRJ!$H$880:$H$894,B48:B453,[1]CRJ!$K$880:$K$894)</f>
        <v>0</v>
      </c>
      <c r="P48" s="100">
        <f>SUMIF([1]ChkDJ!$H$849:$H$867,B48:B453,[1]ChkDJ!$J$849:$J$867)</f>
        <v>0</v>
      </c>
      <c r="Q48" s="100">
        <f>SUMIF([1]ChkDJ!$H$849:$H$867,B48:B453,[1]ChkDJ!$K$849:$K$867)</f>
        <v>0</v>
      </c>
      <c r="R48" s="100">
        <f>SUMIF([1]CDJ!$H$190:$H$197,B48:B453,[1]CDJ!$J$190:$J$197)</f>
        <v>0</v>
      </c>
      <c r="S48" s="100">
        <f>SUMIF([1]CDJ!$H$190:$H$197,B48:B453,[1]CDJ!$K$190:$K$197)</f>
        <v>0</v>
      </c>
      <c r="T48" s="102">
        <f>SUMIF([1]GL!$H$448:$H$480,B48:B458,[1]GL!$J$448:$J$487)</f>
        <v>0</v>
      </c>
      <c r="U48" s="100">
        <f>SUMIF([1]GL!$H$448:$H$480,B48:B458,[1]GL!$K$448:$K$487)</f>
        <v>0</v>
      </c>
      <c r="V48" s="102"/>
      <c r="W48" s="100"/>
      <c r="X48" s="101"/>
      <c r="Y48" s="353"/>
    </row>
    <row r="49" spans="1:25" s="344" customFormat="1" ht="15.75" hidden="1" customHeight="1">
      <c r="A49" s="419" t="s">
        <v>538</v>
      </c>
      <c r="B49" s="423">
        <v>164</v>
      </c>
      <c r="C49" s="94">
        <f t="shared" si="3"/>
        <v>0</v>
      </c>
      <c r="D49" s="94"/>
      <c r="E49" s="420"/>
      <c r="F49" s="650">
        <v>0</v>
      </c>
      <c r="G49" s="651"/>
      <c r="H49" s="593">
        <v>0</v>
      </c>
      <c r="I49" s="98">
        <f t="shared" si="0"/>
        <v>0</v>
      </c>
      <c r="J49" s="98">
        <f t="shared" si="0"/>
        <v>0</v>
      </c>
      <c r="K49" s="96">
        <f t="shared" si="1"/>
        <v>0</v>
      </c>
      <c r="L49" s="96"/>
      <c r="M49" s="96">
        <f t="shared" si="2"/>
        <v>0</v>
      </c>
      <c r="N49" s="107">
        <f>SUMIF([1]CRJ!$H$880:$H$894,B49:B454,[1]CRJ!$J$880:$J$894)</f>
        <v>0</v>
      </c>
      <c r="O49" s="100">
        <f>SUMIF([1]CRJ!$H$880:$H$894,B49:B454,[1]CRJ!$K$880:$K$894)</f>
        <v>0</v>
      </c>
      <c r="P49" s="100">
        <f>SUMIF([1]ChkDJ!$H$849:$H$867,B49:B454,[1]ChkDJ!$J$849:$J$867)</f>
        <v>0</v>
      </c>
      <c r="Q49" s="100">
        <f>SUMIF([1]ChkDJ!$H$849:$H$867,B49:B454,[1]ChkDJ!$K$849:$K$867)</f>
        <v>0</v>
      </c>
      <c r="R49" s="100">
        <f>SUMIF([1]CDJ!$H$190:$H$197,B49:B454,[1]CDJ!$J$190:$J$197)</f>
        <v>0</v>
      </c>
      <c r="S49" s="100">
        <f>SUMIF([1]CDJ!$H$190:$H$197,B49:B454,[1]CDJ!$K$190:$K$197)</f>
        <v>0</v>
      </c>
      <c r="T49" s="102">
        <f>SUMIF([1]GL!$H$448:$H$480,B49:B459,[1]GL!$J$448:$J$487)</f>
        <v>0</v>
      </c>
      <c r="U49" s="100">
        <f>SUMIF([1]GL!$H$448:$H$480,B49:B459,[1]GL!$K$448:$K$487)</f>
        <v>0</v>
      </c>
      <c r="V49" s="102"/>
      <c r="W49" s="100"/>
      <c r="X49" s="101"/>
      <c r="Y49" s="353"/>
    </row>
    <row r="50" spans="1:25" ht="15.75" customHeight="1">
      <c r="A50" s="93" t="s">
        <v>87</v>
      </c>
      <c r="B50" s="513">
        <v>165</v>
      </c>
      <c r="C50" s="94">
        <f t="shared" si="3"/>
        <v>1792360</v>
      </c>
      <c r="D50" s="94"/>
      <c r="E50" s="95"/>
      <c r="F50" s="648">
        <v>1926942</v>
      </c>
      <c r="G50" s="649"/>
      <c r="H50" s="96">
        <v>134582</v>
      </c>
      <c r="I50" s="98">
        <f t="shared" si="0"/>
        <v>0</v>
      </c>
      <c r="J50" s="98">
        <f t="shared" si="0"/>
        <v>0</v>
      </c>
      <c r="K50" s="96">
        <f t="shared" si="1"/>
        <v>1926942</v>
      </c>
      <c r="L50" s="96"/>
      <c r="M50" s="96">
        <f t="shared" si="2"/>
        <v>134582</v>
      </c>
      <c r="N50" s="107">
        <f>SUMIF([1]CRJ!$H$880:$H$894,B50:B455,[1]CRJ!$J$880:$J$894)</f>
        <v>0</v>
      </c>
      <c r="O50" s="100">
        <f>SUMIF([1]CRJ!$H$880:$H$894,B50:B455,[1]CRJ!$K$880:$K$894)</f>
        <v>0</v>
      </c>
      <c r="P50" s="100">
        <f>SUMIF([1]ChkDJ!$H$849:$H$867,B50:B455,[1]ChkDJ!$J$849:$J$867)</f>
        <v>0</v>
      </c>
      <c r="Q50" s="100">
        <f>SUMIF([1]ChkDJ!$H$849:$H$867,B50:B455,[1]ChkDJ!$K$849:$K$867)</f>
        <v>0</v>
      </c>
      <c r="R50" s="100">
        <f>SUMIF([1]CDJ!$H$190:$H$197,B50:B455,[1]CDJ!$J$190:$J$197)</f>
        <v>0</v>
      </c>
      <c r="S50" s="100">
        <f>SUMIF([1]CDJ!$H$190:$H$197,B50:B455,[1]CDJ!$K$190:$K$197)</f>
        <v>0</v>
      </c>
      <c r="T50" s="102">
        <f>SUMIF([1]GL!$H$448:$H$480,B50:B460,[1]GL!$J$448:$J$487)</f>
        <v>0</v>
      </c>
      <c r="U50" s="100">
        <f>SUMIF([1]GL!$H$448:$H$480,B50:B460,[1]GL!$K$448:$K$487)</f>
        <v>0</v>
      </c>
      <c r="V50" s="102"/>
      <c r="W50" s="100"/>
      <c r="X50" s="101"/>
      <c r="Y50" s="353"/>
    </row>
    <row r="51" spans="1:25" s="344" customFormat="1" ht="15.75" hidden="1" customHeight="1">
      <c r="A51" s="419" t="s">
        <v>539</v>
      </c>
      <c r="B51" s="423">
        <v>166</v>
      </c>
      <c r="C51" s="420">
        <f t="shared" si="3"/>
        <v>0</v>
      </c>
      <c r="D51" s="420"/>
      <c r="E51" s="420"/>
      <c r="F51" s="650">
        <v>0</v>
      </c>
      <c r="G51" s="651"/>
      <c r="H51" s="593">
        <v>0</v>
      </c>
      <c r="I51" s="98">
        <f t="shared" si="0"/>
        <v>0</v>
      </c>
      <c r="J51" s="98">
        <f t="shared" si="0"/>
        <v>0</v>
      </c>
      <c r="K51" s="96">
        <f t="shared" si="1"/>
        <v>0</v>
      </c>
      <c r="L51" s="96"/>
      <c r="M51" s="96">
        <f t="shared" si="2"/>
        <v>0</v>
      </c>
      <c r="N51" s="107">
        <f>SUMIF([1]CRJ!$H$880:$H$894,B51:B456,[1]CRJ!$J$880:$J$894)</f>
        <v>0</v>
      </c>
      <c r="O51" s="100">
        <f>SUMIF([1]CRJ!$H$880:$H$894,B51:B456,[1]CRJ!$K$880:$K$894)</f>
        <v>0</v>
      </c>
      <c r="P51" s="100">
        <f>SUMIF([1]ChkDJ!$H$849:$H$867,B51:B456,[1]ChkDJ!$J$849:$J$867)</f>
        <v>0</v>
      </c>
      <c r="Q51" s="100">
        <f>SUMIF([1]ChkDJ!$H$849:$H$867,B51:B456,[1]ChkDJ!$K$849:$K$867)</f>
        <v>0</v>
      </c>
      <c r="R51" s="100">
        <f>SUMIF([1]CDJ!$H$190:$H$197,B51:B456,[1]CDJ!$J$190:$J$197)</f>
        <v>0</v>
      </c>
      <c r="S51" s="100">
        <f>SUMIF([1]CDJ!$H$190:$H$197,B51:B456,[1]CDJ!$K$190:$K$197)</f>
        <v>0</v>
      </c>
      <c r="T51" s="102">
        <f>SUMIF([1]GL!$H$448:$H$480,B51:B461,[1]GL!$J$448:$J$487)</f>
        <v>0</v>
      </c>
      <c r="U51" s="100">
        <f>SUMIF([1]GL!$H$448:$H$480,B51:B461,[1]GL!$K$448:$K$487)</f>
        <v>0</v>
      </c>
      <c r="V51" s="102"/>
      <c r="W51" s="100"/>
      <c r="X51" s="101"/>
      <c r="Y51" s="353"/>
    </row>
    <row r="52" spans="1:25" s="344" customFormat="1" ht="15.75" hidden="1" customHeight="1">
      <c r="A52" s="419" t="s">
        <v>540</v>
      </c>
      <c r="B52" s="423">
        <v>167</v>
      </c>
      <c r="C52" s="420">
        <f t="shared" si="3"/>
        <v>0</v>
      </c>
      <c r="D52" s="420"/>
      <c r="E52" s="420"/>
      <c r="F52" s="650">
        <v>0</v>
      </c>
      <c r="G52" s="651"/>
      <c r="H52" s="593">
        <v>0</v>
      </c>
      <c r="I52" s="98">
        <f t="shared" si="0"/>
        <v>0</v>
      </c>
      <c r="J52" s="98">
        <f t="shared" si="0"/>
        <v>0</v>
      </c>
      <c r="K52" s="96">
        <f t="shared" si="1"/>
        <v>0</v>
      </c>
      <c r="L52" s="96"/>
      <c r="M52" s="96">
        <f t="shared" si="2"/>
        <v>0</v>
      </c>
      <c r="N52" s="107">
        <f>SUMIF([1]CRJ!$H$880:$H$894,B52:B457,[1]CRJ!$J$880:$J$894)</f>
        <v>0</v>
      </c>
      <c r="O52" s="100">
        <f>SUMIF([1]CRJ!$H$880:$H$894,B52:B457,[1]CRJ!$K$880:$K$894)</f>
        <v>0</v>
      </c>
      <c r="P52" s="100">
        <f>SUMIF([1]ChkDJ!$H$849:$H$867,B52:B457,[1]ChkDJ!$J$849:$J$867)</f>
        <v>0</v>
      </c>
      <c r="Q52" s="100">
        <f>SUMIF([1]ChkDJ!$H$849:$H$867,B52:B457,[1]ChkDJ!$K$849:$K$867)</f>
        <v>0</v>
      </c>
      <c r="R52" s="100">
        <f>SUMIF([1]CDJ!$H$190:$H$197,B52:B457,[1]CDJ!$J$190:$J$197)</f>
        <v>0</v>
      </c>
      <c r="S52" s="100">
        <f>SUMIF([1]CDJ!$H$190:$H$197,B52:B457,[1]CDJ!$K$190:$K$197)</f>
        <v>0</v>
      </c>
      <c r="T52" s="102">
        <f>SUMIF([1]GL!$H$448:$H$480,B52:B462,[1]GL!$J$448:$J$487)</f>
        <v>0</v>
      </c>
      <c r="U52" s="100">
        <f>SUMIF([1]GL!$H$448:$H$480,B52:B462,[1]GL!$K$448:$K$487)</f>
        <v>0</v>
      </c>
      <c r="V52" s="102"/>
      <c r="W52" s="100"/>
      <c r="X52" s="101"/>
      <c r="Y52" s="353"/>
    </row>
    <row r="53" spans="1:25" s="344" customFormat="1" ht="15.75" hidden="1" customHeight="1">
      <c r="A53" s="419" t="s">
        <v>541</v>
      </c>
      <c r="B53" s="423">
        <v>168</v>
      </c>
      <c r="C53" s="420">
        <f>+K53-M53</f>
        <v>0</v>
      </c>
      <c r="D53" s="420"/>
      <c r="E53" s="420"/>
      <c r="F53" s="650">
        <v>0</v>
      </c>
      <c r="G53" s="651"/>
      <c r="H53" s="593">
        <v>0</v>
      </c>
      <c r="I53" s="98">
        <f t="shared" si="0"/>
        <v>0</v>
      </c>
      <c r="J53" s="98">
        <f t="shared" si="0"/>
        <v>0</v>
      </c>
      <c r="K53" s="96">
        <f t="shared" si="1"/>
        <v>0</v>
      </c>
      <c r="L53" s="96"/>
      <c r="M53" s="96">
        <f t="shared" si="2"/>
        <v>0</v>
      </c>
      <c r="N53" s="107">
        <f>SUMIF([1]CRJ!$H$880:$H$894,B53:B458,[1]CRJ!$J$880:$J$894)</f>
        <v>0</v>
      </c>
      <c r="O53" s="100">
        <f>SUMIF([1]CRJ!$H$880:$H$894,B53:B458,[1]CRJ!$K$880:$K$894)</f>
        <v>0</v>
      </c>
      <c r="P53" s="100">
        <f>SUMIF([1]ChkDJ!$H$849:$H$867,B53:B458,[1]ChkDJ!$J$849:$J$867)</f>
        <v>0</v>
      </c>
      <c r="Q53" s="100">
        <f>SUMIF([1]ChkDJ!$H$849:$H$867,B53:B458,[1]ChkDJ!$K$849:$K$867)</f>
        <v>0</v>
      </c>
      <c r="R53" s="100">
        <f>SUMIF([1]CDJ!$H$190:$H$197,B53:B458,[1]CDJ!$J$190:$J$197)</f>
        <v>0</v>
      </c>
      <c r="S53" s="100">
        <f>SUMIF([1]CDJ!$H$190:$H$197,B53:B458,[1]CDJ!$K$190:$K$197)</f>
        <v>0</v>
      </c>
      <c r="T53" s="102">
        <f>SUMIF([1]GL!$H$448:$H$480,B53:B463,[1]GL!$J$448:$J$487)</f>
        <v>0</v>
      </c>
      <c r="U53" s="100">
        <f>SUMIF([1]GL!$H$448:$H$480,B53:B463,[1]GL!$K$448:$K$487)</f>
        <v>0</v>
      </c>
      <c r="V53" s="102"/>
      <c r="W53" s="100"/>
      <c r="X53" s="101"/>
      <c r="Y53" s="353"/>
    </row>
    <row r="54" spans="1:25" s="344" customFormat="1" ht="15.75" hidden="1" customHeight="1">
      <c r="A54" s="419" t="s">
        <v>542</v>
      </c>
      <c r="B54" s="423">
        <v>169</v>
      </c>
      <c r="C54" s="420">
        <f t="shared" ref="C54:C60" si="4">+K54-M54</f>
        <v>0</v>
      </c>
      <c r="D54" s="420"/>
      <c r="E54" s="420"/>
      <c r="F54" s="650">
        <v>0</v>
      </c>
      <c r="G54" s="651"/>
      <c r="H54" s="593">
        <v>0</v>
      </c>
      <c r="I54" s="98">
        <f t="shared" si="0"/>
        <v>0</v>
      </c>
      <c r="J54" s="98">
        <f t="shared" si="0"/>
        <v>0</v>
      </c>
      <c r="K54" s="96">
        <f t="shared" si="1"/>
        <v>0</v>
      </c>
      <c r="L54" s="96"/>
      <c r="M54" s="96">
        <f t="shared" si="2"/>
        <v>0</v>
      </c>
      <c r="N54" s="107">
        <f>SUMIF([1]CRJ!$H$880:$H$894,B54:B459,[1]CRJ!$J$880:$J$894)</f>
        <v>0</v>
      </c>
      <c r="O54" s="100">
        <f>SUMIF([1]CRJ!$H$880:$H$894,B54:B459,[1]CRJ!$K$880:$K$894)</f>
        <v>0</v>
      </c>
      <c r="P54" s="100">
        <f>SUMIF([1]ChkDJ!$H$849:$H$867,B54:B459,[1]ChkDJ!$J$849:$J$867)</f>
        <v>0</v>
      </c>
      <c r="Q54" s="100">
        <f>SUMIF([1]ChkDJ!$H$849:$H$867,B54:B459,[1]ChkDJ!$K$849:$K$867)</f>
        <v>0</v>
      </c>
      <c r="R54" s="100">
        <f>SUMIF([1]CDJ!$H$190:$H$197,B54:B459,[1]CDJ!$J$190:$J$197)</f>
        <v>0</v>
      </c>
      <c r="S54" s="100">
        <f>SUMIF([1]CDJ!$H$190:$H$197,B54:B459,[1]CDJ!$K$190:$K$197)</f>
        <v>0</v>
      </c>
      <c r="T54" s="102">
        <f>SUMIF([1]GL!$H$448:$H$480,B54:B464,[1]GL!$J$448:$J$487)</f>
        <v>0</v>
      </c>
      <c r="U54" s="100">
        <f>SUMIF([1]GL!$H$448:$H$480,B54:B464,[1]GL!$K$448:$K$487)</f>
        <v>0</v>
      </c>
      <c r="V54" s="102"/>
      <c r="W54" s="100"/>
      <c r="X54" s="101"/>
      <c r="Y54" s="353"/>
    </row>
    <row r="55" spans="1:25" s="344" customFormat="1" ht="15.75" hidden="1" customHeight="1">
      <c r="A55" s="419" t="s">
        <v>543</v>
      </c>
      <c r="B55" s="423">
        <v>170</v>
      </c>
      <c r="C55" s="420">
        <f t="shared" si="4"/>
        <v>0</v>
      </c>
      <c r="D55" s="420"/>
      <c r="E55" s="420"/>
      <c r="F55" s="650">
        <v>0</v>
      </c>
      <c r="G55" s="651"/>
      <c r="H55" s="593">
        <v>0</v>
      </c>
      <c r="I55" s="98">
        <f t="shared" si="0"/>
        <v>0</v>
      </c>
      <c r="J55" s="98">
        <f t="shared" si="0"/>
        <v>0</v>
      </c>
      <c r="K55" s="96">
        <f t="shared" si="1"/>
        <v>0</v>
      </c>
      <c r="L55" s="96"/>
      <c r="M55" s="96">
        <f t="shared" si="2"/>
        <v>0</v>
      </c>
      <c r="N55" s="107">
        <f>SUMIF([1]CRJ!$H$880:$H$894,B55:B460,[1]CRJ!$J$880:$J$894)</f>
        <v>0</v>
      </c>
      <c r="O55" s="100">
        <f>SUMIF([1]CRJ!$H$880:$H$894,B55:B460,[1]CRJ!$K$880:$K$894)</f>
        <v>0</v>
      </c>
      <c r="P55" s="100">
        <f>SUMIF([1]ChkDJ!$H$849:$H$867,B55:B460,[1]ChkDJ!$J$849:$J$867)</f>
        <v>0</v>
      </c>
      <c r="Q55" s="100">
        <f>SUMIF([1]ChkDJ!$H$849:$H$867,B55:B460,[1]ChkDJ!$K$849:$K$867)</f>
        <v>0</v>
      </c>
      <c r="R55" s="100">
        <f>SUMIF([1]CDJ!$H$190:$H$197,B55:B460,[1]CDJ!$J$190:$J$197)</f>
        <v>0</v>
      </c>
      <c r="S55" s="100">
        <f>SUMIF([1]CDJ!$H$190:$H$197,B55:B460,[1]CDJ!$K$190:$K$197)</f>
        <v>0</v>
      </c>
      <c r="T55" s="102">
        <f>SUMIF([1]GL!$H$448:$H$480,B55:B465,[1]GL!$J$448:$J$487)</f>
        <v>0</v>
      </c>
      <c r="U55" s="100">
        <f>SUMIF([1]GL!$H$448:$H$480,B55:B465,[1]GL!$K$448:$K$487)</f>
        <v>0</v>
      </c>
      <c r="V55" s="102"/>
      <c r="W55" s="100"/>
      <c r="X55" s="101"/>
      <c r="Y55" s="353"/>
    </row>
    <row r="56" spans="1:25" s="344" customFormat="1" ht="15.75" hidden="1" customHeight="1">
      <c r="A56" s="419" t="s">
        <v>544</v>
      </c>
      <c r="B56" s="423">
        <v>176</v>
      </c>
      <c r="C56" s="420">
        <f t="shared" si="4"/>
        <v>0</v>
      </c>
      <c r="D56" s="420"/>
      <c r="E56" s="420"/>
      <c r="F56" s="650">
        <v>0</v>
      </c>
      <c r="G56" s="651"/>
      <c r="H56" s="593">
        <v>0</v>
      </c>
      <c r="I56" s="98">
        <f t="shared" si="0"/>
        <v>0</v>
      </c>
      <c r="J56" s="98">
        <f t="shared" si="0"/>
        <v>0</v>
      </c>
      <c r="K56" s="96">
        <f t="shared" si="1"/>
        <v>0</v>
      </c>
      <c r="L56" s="96"/>
      <c r="M56" s="96">
        <f t="shared" si="2"/>
        <v>0</v>
      </c>
      <c r="N56" s="107">
        <f>SUMIF([1]CRJ!$H$880:$H$894,B56:B461,[1]CRJ!$J$880:$J$894)</f>
        <v>0</v>
      </c>
      <c r="O56" s="100">
        <f>SUMIF([1]CRJ!$H$880:$H$894,B56:B461,[1]CRJ!$K$880:$K$894)</f>
        <v>0</v>
      </c>
      <c r="P56" s="100">
        <f>SUMIF([1]ChkDJ!$H$849:$H$867,B56:B461,[1]ChkDJ!$J$849:$J$867)</f>
        <v>0</v>
      </c>
      <c r="Q56" s="100">
        <f>SUMIF([1]ChkDJ!$H$849:$H$867,B56:B461,[1]ChkDJ!$K$849:$K$867)</f>
        <v>0</v>
      </c>
      <c r="R56" s="100">
        <f>SUMIF([1]CDJ!$H$190:$H$197,B56:B461,[1]CDJ!$J$190:$J$197)</f>
        <v>0</v>
      </c>
      <c r="S56" s="100">
        <f>SUMIF([1]CDJ!$H$190:$H$197,B56:B461,[1]CDJ!$K$190:$K$197)</f>
        <v>0</v>
      </c>
      <c r="T56" s="102">
        <f>SUMIF([1]GL!$H$448:$H$480,B56:B466,[1]GL!$J$448:$J$487)</f>
        <v>0</v>
      </c>
      <c r="U56" s="100">
        <f>SUMIF([1]GL!$H$448:$H$480,B56:B466,[1]GL!$K$448:$K$487)</f>
        <v>0</v>
      </c>
      <c r="V56" s="102"/>
      <c r="W56" s="100"/>
      <c r="X56" s="101"/>
      <c r="Y56" s="353"/>
    </row>
    <row r="57" spans="1:25" s="344" customFormat="1" ht="15.75" hidden="1" customHeight="1">
      <c r="A57" s="419" t="s">
        <v>545</v>
      </c>
      <c r="B57" s="423">
        <v>177</v>
      </c>
      <c r="C57" s="420">
        <f t="shared" si="4"/>
        <v>0</v>
      </c>
      <c r="D57" s="420"/>
      <c r="E57" s="420"/>
      <c r="F57" s="650">
        <v>0</v>
      </c>
      <c r="G57" s="651"/>
      <c r="H57" s="593">
        <v>0</v>
      </c>
      <c r="I57" s="98">
        <f t="shared" si="0"/>
        <v>0</v>
      </c>
      <c r="J57" s="98">
        <f t="shared" si="0"/>
        <v>0</v>
      </c>
      <c r="K57" s="96">
        <f t="shared" si="1"/>
        <v>0</v>
      </c>
      <c r="L57" s="96"/>
      <c r="M57" s="96">
        <f t="shared" si="2"/>
        <v>0</v>
      </c>
      <c r="N57" s="107">
        <f>SUMIF([1]CRJ!$H$880:$H$894,B57:B462,[1]CRJ!$J$880:$J$894)</f>
        <v>0</v>
      </c>
      <c r="O57" s="100">
        <f>SUMIF([1]CRJ!$H$880:$H$894,B57:B462,[1]CRJ!$K$880:$K$894)</f>
        <v>0</v>
      </c>
      <c r="P57" s="100">
        <f>SUMIF([1]ChkDJ!$H$849:$H$867,B57:B462,[1]ChkDJ!$J$849:$J$867)</f>
        <v>0</v>
      </c>
      <c r="Q57" s="100">
        <f>SUMIF([1]ChkDJ!$H$849:$H$867,B57:B462,[1]ChkDJ!$K$849:$K$867)</f>
        <v>0</v>
      </c>
      <c r="R57" s="100">
        <f>SUMIF([1]CDJ!$H$190:$H$197,B57:B462,[1]CDJ!$J$190:$J$197)</f>
        <v>0</v>
      </c>
      <c r="S57" s="100">
        <f>SUMIF([1]CDJ!$H$190:$H$197,B57:B462,[1]CDJ!$K$190:$K$197)</f>
        <v>0</v>
      </c>
      <c r="T57" s="102">
        <f>SUMIF([1]GL!$H$448:$H$480,B57:B467,[1]GL!$J$448:$J$487)</f>
        <v>0</v>
      </c>
      <c r="U57" s="100">
        <f>SUMIF([1]GL!$H$448:$H$480,B57:B467,[1]GL!$K$448:$K$487)</f>
        <v>0</v>
      </c>
      <c r="V57" s="102"/>
      <c r="W57" s="100"/>
      <c r="X57" s="101"/>
      <c r="Y57" s="353"/>
    </row>
    <row r="58" spans="1:25" s="344" customFormat="1" ht="15.75" hidden="1" customHeight="1">
      <c r="A58" s="419" t="s">
        <v>546</v>
      </c>
      <c r="B58" s="423">
        <v>178</v>
      </c>
      <c r="C58" s="420">
        <f t="shared" si="4"/>
        <v>0</v>
      </c>
      <c r="D58" s="420"/>
      <c r="E58" s="420"/>
      <c r="F58" s="650">
        <v>0</v>
      </c>
      <c r="G58" s="651"/>
      <c r="H58" s="593">
        <v>0</v>
      </c>
      <c r="I58" s="98">
        <f t="shared" si="0"/>
        <v>0</v>
      </c>
      <c r="J58" s="98">
        <f t="shared" si="0"/>
        <v>0</v>
      </c>
      <c r="K58" s="96">
        <f t="shared" si="1"/>
        <v>0</v>
      </c>
      <c r="L58" s="96"/>
      <c r="M58" s="96">
        <f t="shared" si="2"/>
        <v>0</v>
      </c>
      <c r="N58" s="107">
        <f>SUMIF([1]CRJ!$H$880:$H$894,B58:B463,[1]CRJ!$J$880:$J$894)</f>
        <v>0</v>
      </c>
      <c r="O58" s="100">
        <f>SUMIF([1]CRJ!$H$880:$H$894,B58:B463,[1]CRJ!$K$880:$K$894)</f>
        <v>0</v>
      </c>
      <c r="P58" s="100">
        <f>SUMIF([1]ChkDJ!$H$849:$H$867,B58:B463,[1]ChkDJ!$J$849:$J$867)</f>
        <v>0</v>
      </c>
      <c r="Q58" s="100">
        <f>SUMIF([1]ChkDJ!$H$849:$H$867,B58:B463,[1]ChkDJ!$K$849:$K$867)</f>
        <v>0</v>
      </c>
      <c r="R58" s="100">
        <f>SUMIF([1]CDJ!$H$190:$H$197,B58:B463,[1]CDJ!$J$190:$J$197)</f>
        <v>0</v>
      </c>
      <c r="S58" s="100">
        <f>SUMIF([1]CDJ!$H$190:$H$197,B58:B463,[1]CDJ!$K$190:$K$197)</f>
        <v>0</v>
      </c>
      <c r="T58" s="102">
        <f>SUMIF([1]GL!$H$448:$H$480,B58:B468,[1]GL!$J$448:$J$487)</f>
        <v>0</v>
      </c>
      <c r="U58" s="100">
        <f>SUMIF([1]GL!$H$448:$H$480,B58:B468,[1]GL!$K$448:$K$487)</f>
        <v>0</v>
      </c>
      <c r="V58" s="102"/>
      <c r="W58" s="100"/>
      <c r="X58" s="101"/>
      <c r="Y58" s="353"/>
    </row>
    <row r="59" spans="1:25" s="344" customFormat="1" ht="15.75" hidden="1" customHeight="1">
      <c r="A59" s="419" t="s">
        <v>547</v>
      </c>
      <c r="B59" s="423">
        <v>179</v>
      </c>
      <c r="C59" s="420">
        <f t="shared" si="4"/>
        <v>0</v>
      </c>
      <c r="D59" s="420"/>
      <c r="E59" s="420"/>
      <c r="F59" s="650">
        <v>0</v>
      </c>
      <c r="G59" s="651"/>
      <c r="H59" s="593">
        <v>0</v>
      </c>
      <c r="I59" s="98">
        <f t="shared" si="0"/>
        <v>0</v>
      </c>
      <c r="J59" s="98">
        <f t="shared" si="0"/>
        <v>0</v>
      </c>
      <c r="K59" s="96">
        <f t="shared" si="1"/>
        <v>0</v>
      </c>
      <c r="L59" s="96"/>
      <c r="M59" s="96">
        <f t="shared" si="2"/>
        <v>0</v>
      </c>
      <c r="N59" s="107">
        <f>SUMIF([1]CRJ!$H$880:$H$894,B59:B464,[1]CRJ!$J$880:$J$894)</f>
        <v>0</v>
      </c>
      <c r="O59" s="100">
        <f>SUMIF([1]CRJ!$H$880:$H$894,B59:B464,[1]CRJ!$K$880:$K$894)</f>
        <v>0</v>
      </c>
      <c r="P59" s="100">
        <f>SUMIF([1]ChkDJ!$H$849:$H$867,B59:B464,[1]ChkDJ!$J$849:$J$867)</f>
        <v>0</v>
      </c>
      <c r="Q59" s="100">
        <f>SUMIF([1]ChkDJ!$H$849:$H$867,B59:B464,[1]ChkDJ!$K$849:$K$867)</f>
        <v>0</v>
      </c>
      <c r="R59" s="100">
        <f>SUMIF([1]CDJ!$H$190:$H$197,B59:B464,[1]CDJ!$J$190:$J$197)</f>
        <v>0</v>
      </c>
      <c r="S59" s="100">
        <f>SUMIF([1]CDJ!$H$190:$H$197,B59:B464,[1]CDJ!$K$190:$K$197)</f>
        <v>0</v>
      </c>
      <c r="T59" s="102">
        <f>SUMIF([1]GL!$H$448:$H$480,B59:B469,[1]GL!$J$448:$J$487)</f>
        <v>0</v>
      </c>
      <c r="U59" s="100">
        <f>SUMIF([1]GL!$H$448:$H$480,B59:B469,[1]GL!$K$448:$K$487)</f>
        <v>0</v>
      </c>
      <c r="V59" s="102"/>
      <c r="W59" s="100"/>
      <c r="X59" s="101"/>
      <c r="Y59" s="353"/>
    </row>
    <row r="60" spans="1:25" s="344" customFormat="1" ht="15.75" hidden="1" customHeight="1">
      <c r="A60" s="419" t="s">
        <v>548</v>
      </c>
      <c r="B60" s="423">
        <v>180</v>
      </c>
      <c r="C60" s="420">
        <f t="shared" si="4"/>
        <v>0</v>
      </c>
      <c r="D60" s="420"/>
      <c r="E60" s="420"/>
      <c r="F60" s="650">
        <v>0</v>
      </c>
      <c r="G60" s="651"/>
      <c r="H60" s="593">
        <v>0</v>
      </c>
      <c r="I60" s="98">
        <f t="shared" si="0"/>
        <v>0</v>
      </c>
      <c r="J60" s="98">
        <f t="shared" si="0"/>
        <v>0</v>
      </c>
      <c r="K60" s="96">
        <f t="shared" si="1"/>
        <v>0</v>
      </c>
      <c r="L60" s="96"/>
      <c r="M60" s="96">
        <f t="shared" si="2"/>
        <v>0</v>
      </c>
      <c r="N60" s="107">
        <f>SUMIF([1]CRJ!$H$880:$H$894,B60:B465,[1]CRJ!$J$880:$J$894)</f>
        <v>0</v>
      </c>
      <c r="O60" s="100">
        <f>SUMIF([1]CRJ!$H$880:$H$894,B60:B465,[1]CRJ!$K$880:$K$894)</f>
        <v>0</v>
      </c>
      <c r="P60" s="100">
        <f>SUMIF([1]ChkDJ!$H$849:$H$867,B60:B465,[1]ChkDJ!$J$849:$J$867)</f>
        <v>0</v>
      </c>
      <c r="Q60" s="100">
        <f>SUMIF([1]ChkDJ!$H$849:$H$867,B60:B465,[1]ChkDJ!$K$849:$K$867)</f>
        <v>0</v>
      </c>
      <c r="R60" s="100">
        <f>SUMIF([1]CDJ!$H$190:$H$197,B60:B465,[1]CDJ!$J$190:$J$197)</f>
        <v>0</v>
      </c>
      <c r="S60" s="100">
        <f>SUMIF([1]CDJ!$H$190:$H$197,B60:B465,[1]CDJ!$K$190:$K$197)</f>
        <v>0</v>
      </c>
      <c r="T60" s="102">
        <f>SUMIF([1]GL!$H$448:$H$480,B60:B470,[1]GL!$J$448:$J$487)</f>
        <v>0</v>
      </c>
      <c r="U60" s="100">
        <f>SUMIF([1]GL!$H$448:$H$480,B60:B470,[1]GL!$K$448:$K$487)</f>
        <v>0</v>
      </c>
      <c r="V60" s="102"/>
      <c r="W60" s="100"/>
      <c r="X60" s="101"/>
      <c r="Y60" s="353"/>
    </row>
    <row r="61" spans="1:25" ht="15.75">
      <c r="A61" s="93" t="s">
        <v>350</v>
      </c>
      <c r="B61" s="513">
        <v>181</v>
      </c>
      <c r="C61" s="94">
        <f t="shared" si="3"/>
        <v>3779668.5200000005</v>
      </c>
      <c r="D61" s="94"/>
      <c r="E61" s="95"/>
      <c r="F61" s="648">
        <v>2226622.0100000002</v>
      </c>
      <c r="G61" s="649"/>
      <c r="H61" s="96">
        <v>625246.88</v>
      </c>
      <c r="I61" s="98">
        <f t="shared" si="0"/>
        <v>2178293.3899999997</v>
      </c>
      <c r="J61" s="98">
        <f t="shared" si="0"/>
        <v>0</v>
      </c>
      <c r="K61" s="96">
        <f t="shared" si="1"/>
        <v>4404915.4000000004</v>
      </c>
      <c r="L61" s="96"/>
      <c r="M61" s="96">
        <f t="shared" si="2"/>
        <v>625246.88</v>
      </c>
      <c r="N61" s="107">
        <f>SUMIF([1]CRJ!$H$880:$H$894,B61:B466,[1]CRJ!$J$880:$J$894)</f>
        <v>0</v>
      </c>
      <c r="O61" s="100">
        <f>SUMIF([1]CRJ!$H$880:$H$894,B61:B466,[1]CRJ!$K$880:$K$894)</f>
        <v>0</v>
      </c>
      <c r="P61" s="100">
        <f>SUMIF([1]ChkDJ!$H$849:$H$867,B61:B466,[1]ChkDJ!$J$849:$J$867)</f>
        <v>2178293.3899999997</v>
      </c>
      <c r="Q61" s="100">
        <f>SUMIF([1]ChkDJ!$H$849:$H$867,B61:B466,[1]ChkDJ!$K$849:$K$867)</f>
        <v>0</v>
      </c>
      <c r="R61" s="100">
        <f>SUMIF([1]CDJ!$H$190:$H$197,B61:B466,[1]CDJ!$J$190:$J$197)</f>
        <v>0</v>
      </c>
      <c r="S61" s="100">
        <f>SUMIF([1]CDJ!$H$190:$H$197,B61:B466,[1]CDJ!$K$190:$K$197)</f>
        <v>0</v>
      </c>
      <c r="T61" s="102">
        <f>SUMIF([1]GL!$H$448:$H$480,B61:B471,[1]GL!$J$448:$J$487)</f>
        <v>0</v>
      </c>
      <c r="U61" s="100">
        <f>SUMIF([1]GL!$H$448:$H$480,B61:B471,[1]GL!$K$448:$K$487)</f>
        <v>0</v>
      </c>
      <c r="V61" s="102"/>
      <c r="W61" s="100"/>
      <c r="X61" s="101"/>
      <c r="Y61" s="353"/>
    </row>
    <row r="62" spans="1:25" s="344" customFormat="1" ht="15.75" hidden="1" customHeight="1">
      <c r="A62" s="419" t="s">
        <v>549</v>
      </c>
      <c r="B62" s="423">
        <v>182</v>
      </c>
      <c r="C62" s="420">
        <f t="shared" si="3"/>
        <v>0</v>
      </c>
      <c r="D62" s="420"/>
      <c r="E62" s="420"/>
      <c r="F62" s="650">
        <v>0</v>
      </c>
      <c r="G62" s="651"/>
      <c r="H62" s="593">
        <v>0</v>
      </c>
      <c r="I62" s="98">
        <f t="shared" si="0"/>
        <v>0</v>
      </c>
      <c r="J62" s="98">
        <f t="shared" si="0"/>
        <v>0</v>
      </c>
      <c r="K62" s="96">
        <f t="shared" si="1"/>
        <v>0</v>
      </c>
      <c r="L62" s="96"/>
      <c r="M62" s="96">
        <f t="shared" si="2"/>
        <v>0</v>
      </c>
      <c r="N62" s="107">
        <f>SUMIF([1]CRJ!$H$880:$H$894,B62:B467,[1]CRJ!$J$880:$J$894)</f>
        <v>0</v>
      </c>
      <c r="O62" s="100">
        <f>SUMIF([1]CRJ!$H$880:$H$894,B62:B467,[1]CRJ!$K$880:$K$894)</f>
        <v>0</v>
      </c>
      <c r="P62" s="100">
        <f>SUMIF([1]ChkDJ!$H$849:$H$867,B62:B467,[1]ChkDJ!$J$849:$J$867)</f>
        <v>0</v>
      </c>
      <c r="Q62" s="100">
        <f>SUMIF([1]ChkDJ!$H$849:$H$867,B62:B467,[1]ChkDJ!$K$849:$K$867)</f>
        <v>0</v>
      </c>
      <c r="R62" s="100">
        <f>SUMIF([1]CDJ!$H$190:$H$197,B62:B467,[1]CDJ!$J$190:$J$197)</f>
        <v>0</v>
      </c>
      <c r="S62" s="100">
        <f>SUMIF([1]CDJ!$H$190:$H$197,B62:B467,[1]CDJ!$K$190:$K$197)</f>
        <v>0</v>
      </c>
      <c r="T62" s="102">
        <f>SUMIF([1]GL!$H$448:$H$480,B62:B472,[1]GL!$J$448:$J$487)</f>
        <v>0</v>
      </c>
      <c r="U62" s="100">
        <f>SUMIF([1]GL!$H$448:$H$480,B62:B472,[1]GL!$K$448:$K$487)</f>
        <v>0</v>
      </c>
      <c r="V62" s="102"/>
      <c r="W62" s="100"/>
      <c r="X62" s="101"/>
      <c r="Y62" s="353"/>
    </row>
    <row r="63" spans="1:25" s="344" customFormat="1" ht="15.75" hidden="1" customHeight="1">
      <c r="A63" s="419" t="s">
        <v>550</v>
      </c>
      <c r="B63" s="423">
        <v>185</v>
      </c>
      <c r="C63" s="420">
        <f t="shared" si="3"/>
        <v>0</v>
      </c>
      <c r="D63" s="420"/>
      <c r="E63" s="420"/>
      <c r="F63" s="650">
        <v>0</v>
      </c>
      <c r="G63" s="651"/>
      <c r="H63" s="593">
        <v>0</v>
      </c>
      <c r="I63" s="98">
        <f t="shared" si="0"/>
        <v>0</v>
      </c>
      <c r="J63" s="98">
        <f t="shared" si="0"/>
        <v>0</v>
      </c>
      <c r="K63" s="96">
        <f t="shared" si="1"/>
        <v>0</v>
      </c>
      <c r="L63" s="96"/>
      <c r="M63" s="96">
        <f t="shared" si="2"/>
        <v>0</v>
      </c>
      <c r="N63" s="107">
        <f>SUMIF([1]CRJ!$H$880:$H$894,B63:B468,[1]CRJ!$J$880:$J$894)</f>
        <v>0</v>
      </c>
      <c r="O63" s="100">
        <f>SUMIF([1]CRJ!$H$880:$H$894,B63:B468,[1]CRJ!$K$880:$K$894)</f>
        <v>0</v>
      </c>
      <c r="P63" s="100">
        <f>SUMIF([1]ChkDJ!$H$849:$H$867,B63:B468,[1]ChkDJ!$J$849:$J$867)</f>
        <v>0</v>
      </c>
      <c r="Q63" s="100">
        <f>SUMIF([1]ChkDJ!$H$849:$H$867,B63:B468,[1]ChkDJ!$K$849:$K$867)</f>
        <v>0</v>
      </c>
      <c r="R63" s="100">
        <f>SUMIF([1]CDJ!$H$190:$H$197,B63:B468,[1]CDJ!$J$190:$J$197)</f>
        <v>0</v>
      </c>
      <c r="S63" s="100">
        <f>SUMIF([1]CDJ!$H$190:$H$197,B63:B468,[1]CDJ!$K$190:$K$197)</f>
        <v>0</v>
      </c>
      <c r="T63" s="102">
        <f>SUMIF([1]GL!$H$448:$H$480,B63:B473,[1]GL!$J$448:$J$487)</f>
        <v>0</v>
      </c>
      <c r="U63" s="100">
        <f>SUMIF([1]GL!$H$448:$H$480,B63:B473,[1]GL!$K$448:$K$487)</f>
        <v>0</v>
      </c>
      <c r="V63" s="102"/>
      <c r="W63" s="100"/>
      <c r="X63" s="101"/>
      <c r="Y63" s="353"/>
    </row>
    <row r="64" spans="1:25" s="344" customFormat="1" ht="15.75" hidden="1" customHeight="1">
      <c r="A64" s="419" t="s">
        <v>551</v>
      </c>
      <c r="B64" s="423">
        <v>186</v>
      </c>
      <c r="C64" s="420">
        <f t="shared" si="3"/>
        <v>0</v>
      </c>
      <c r="D64" s="420"/>
      <c r="E64" s="420"/>
      <c r="F64" s="650">
        <v>0</v>
      </c>
      <c r="G64" s="651"/>
      <c r="H64" s="593">
        <v>0</v>
      </c>
      <c r="I64" s="98">
        <f t="shared" si="0"/>
        <v>0</v>
      </c>
      <c r="J64" s="98">
        <f t="shared" si="0"/>
        <v>0</v>
      </c>
      <c r="K64" s="96">
        <f t="shared" si="1"/>
        <v>0</v>
      </c>
      <c r="L64" s="96"/>
      <c r="M64" s="96">
        <f t="shared" si="2"/>
        <v>0</v>
      </c>
      <c r="N64" s="107">
        <f>SUMIF([1]CRJ!$H$880:$H$894,B64:B469,[1]CRJ!$J$880:$J$894)</f>
        <v>0</v>
      </c>
      <c r="O64" s="100">
        <f>SUMIF([1]CRJ!$H$880:$H$894,B64:B469,[1]CRJ!$K$880:$K$894)</f>
        <v>0</v>
      </c>
      <c r="P64" s="100">
        <f>SUMIF([1]ChkDJ!$H$849:$H$867,B64:B469,[1]ChkDJ!$J$849:$J$867)</f>
        <v>0</v>
      </c>
      <c r="Q64" s="100">
        <f>SUMIF([1]ChkDJ!$H$849:$H$867,B64:B469,[1]ChkDJ!$K$849:$K$867)</f>
        <v>0</v>
      </c>
      <c r="R64" s="100">
        <f>SUMIF([1]CDJ!$H$190:$H$197,B64:B469,[1]CDJ!$J$190:$J$197)</f>
        <v>0</v>
      </c>
      <c r="S64" s="100">
        <f>SUMIF([1]CDJ!$H$190:$H$197,B64:B469,[1]CDJ!$K$190:$K$197)</f>
        <v>0</v>
      </c>
      <c r="T64" s="102">
        <f>SUMIF([1]GL!$H$448:$H$480,B64:B474,[1]GL!$J$448:$J$487)</f>
        <v>0</v>
      </c>
      <c r="U64" s="100">
        <f>SUMIF([1]GL!$H$448:$H$480,B64:B474,[1]GL!$K$448:$K$487)</f>
        <v>0</v>
      </c>
      <c r="V64" s="102"/>
      <c r="W64" s="100"/>
      <c r="X64" s="101"/>
      <c r="Y64" s="353"/>
    </row>
    <row r="65" spans="1:25" s="344" customFormat="1" ht="15.75" hidden="1" customHeight="1">
      <c r="A65" s="419" t="s">
        <v>552</v>
      </c>
      <c r="B65" s="423">
        <v>189</v>
      </c>
      <c r="C65" s="420">
        <f t="shared" si="3"/>
        <v>0</v>
      </c>
      <c r="D65" s="420"/>
      <c r="E65" s="420"/>
      <c r="F65" s="650">
        <v>0</v>
      </c>
      <c r="G65" s="651"/>
      <c r="H65" s="593">
        <v>0</v>
      </c>
      <c r="I65" s="98">
        <f t="shared" si="0"/>
        <v>0</v>
      </c>
      <c r="J65" s="98">
        <f t="shared" si="0"/>
        <v>0</v>
      </c>
      <c r="K65" s="96">
        <f t="shared" si="1"/>
        <v>0</v>
      </c>
      <c r="L65" s="96"/>
      <c r="M65" s="96">
        <f t="shared" si="2"/>
        <v>0</v>
      </c>
      <c r="N65" s="107">
        <f>SUMIF([1]CRJ!$H$880:$H$894,B65:B470,[1]CRJ!$J$880:$J$894)</f>
        <v>0</v>
      </c>
      <c r="O65" s="100">
        <f>SUMIF([1]CRJ!$H$880:$H$894,B65:B470,[1]CRJ!$K$880:$K$894)</f>
        <v>0</v>
      </c>
      <c r="P65" s="100">
        <f>SUMIF([1]ChkDJ!$H$849:$H$867,B65:B470,[1]ChkDJ!$J$849:$J$867)</f>
        <v>0</v>
      </c>
      <c r="Q65" s="100">
        <f>SUMIF([1]ChkDJ!$H$849:$H$867,B65:B470,[1]ChkDJ!$K$849:$K$867)</f>
        <v>0</v>
      </c>
      <c r="R65" s="100">
        <f>SUMIF([1]CDJ!$H$190:$H$197,B65:B470,[1]CDJ!$J$190:$J$197)</f>
        <v>0</v>
      </c>
      <c r="S65" s="100">
        <f>SUMIF([1]CDJ!$H$190:$H$197,B65:B470,[1]CDJ!$K$190:$K$197)</f>
        <v>0</v>
      </c>
      <c r="T65" s="102">
        <f>SUMIF([1]GL!$H$448:$H$480,B65:B475,[1]GL!$J$448:$J$487)</f>
        <v>0</v>
      </c>
      <c r="U65" s="100">
        <f>SUMIF([1]GL!$H$448:$H$480,B65:B475,[1]GL!$K$448:$K$487)</f>
        <v>0</v>
      </c>
      <c r="V65" s="102"/>
      <c r="W65" s="100"/>
      <c r="X65" s="101"/>
      <c r="Y65" s="353"/>
    </row>
    <row r="66" spans="1:25" s="344" customFormat="1" ht="15.75" hidden="1" customHeight="1">
      <c r="A66" s="419" t="s">
        <v>553</v>
      </c>
      <c r="B66" s="423">
        <v>191</v>
      </c>
      <c r="C66" s="420">
        <f t="shared" si="3"/>
        <v>0</v>
      </c>
      <c r="D66" s="420"/>
      <c r="E66" s="420"/>
      <c r="F66" s="650">
        <v>0</v>
      </c>
      <c r="G66" s="651"/>
      <c r="H66" s="593">
        <v>0</v>
      </c>
      <c r="I66" s="98">
        <f t="shared" si="0"/>
        <v>0</v>
      </c>
      <c r="J66" s="98">
        <f t="shared" si="0"/>
        <v>0</v>
      </c>
      <c r="K66" s="96">
        <f t="shared" si="1"/>
        <v>0</v>
      </c>
      <c r="L66" s="96"/>
      <c r="M66" s="96">
        <f t="shared" si="2"/>
        <v>0</v>
      </c>
      <c r="N66" s="107">
        <f>SUMIF([1]CRJ!$H$880:$H$894,B66:B471,[1]CRJ!$J$880:$J$894)</f>
        <v>0</v>
      </c>
      <c r="O66" s="100">
        <f>SUMIF([1]CRJ!$H$880:$H$894,B66:B471,[1]CRJ!$K$880:$K$894)</f>
        <v>0</v>
      </c>
      <c r="P66" s="100">
        <f>SUMIF([1]ChkDJ!$H$849:$H$867,B66:B471,[1]ChkDJ!$J$849:$J$867)</f>
        <v>0</v>
      </c>
      <c r="Q66" s="100">
        <f>SUMIF([1]ChkDJ!$H$849:$H$867,B66:B471,[1]ChkDJ!$K$849:$K$867)</f>
        <v>0</v>
      </c>
      <c r="R66" s="100">
        <f>SUMIF([1]CDJ!$H$190:$H$197,B66:B471,[1]CDJ!$J$190:$J$197)</f>
        <v>0</v>
      </c>
      <c r="S66" s="100">
        <f>SUMIF([1]CDJ!$H$190:$H$197,B66:B471,[1]CDJ!$K$190:$K$197)</f>
        <v>0</v>
      </c>
      <c r="T66" s="102">
        <f>SUMIF([1]GL!$H$448:$H$480,B66:B476,[1]GL!$J$448:$J$487)</f>
        <v>0</v>
      </c>
      <c r="U66" s="100">
        <f>SUMIF([1]GL!$H$448:$H$480,B66:B476,[1]GL!$K$448:$K$487)</f>
        <v>0</v>
      </c>
      <c r="V66" s="102"/>
      <c r="W66" s="100"/>
      <c r="X66" s="101"/>
      <c r="Y66" s="353"/>
    </row>
    <row r="67" spans="1:25" s="344" customFormat="1" ht="15.75" hidden="1" customHeight="1">
      <c r="A67" s="419" t="s">
        <v>554</v>
      </c>
      <c r="B67" s="423">
        <v>192</v>
      </c>
      <c r="C67" s="420">
        <f t="shared" si="3"/>
        <v>0</v>
      </c>
      <c r="D67" s="420"/>
      <c r="E67" s="420"/>
      <c r="F67" s="650">
        <v>0</v>
      </c>
      <c r="G67" s="651"/>
      <c r="H67" s="593">
        <v>0</v>
      </c>
      <c r="I67" s="98">
        <f t="shared" si="0"/>
        <v>0</v>
      </c>
      <c r="J67" s="98">
        <f t="shared" si="0"/>
        <v>0</v>
      </c>
      <c r="K67" s="96">
        <f t="shared" si="1"/>
        <v>0</v>
      </c>
      <c r="L67" s="96"/>
      <c r="M67" s="96">
        <f t="shared" si="2"/>
        <v>0</v>
      </c>
      <c r="N67" s="107">
        <f>SUMIF([1]CRJ!$H$880:$H$894,B67:B472,[1]CRJ!$J$880:$J$894)</f>
        <v>0</v>
      </c>
      <c r="O67" s="100">
        <f>SUMIF([1]CRJ!$H$880:$H$894,B67:B472,[1]CRJ!$K$880:$K$894)</f>
        <v>0</v>
      </c>
      <c r="P67" s="100">
        <f>SUMIF([1]ChkDJ!$H$849:$H$867,B67:B472,[1]ChkDJ!$J$849:$J$867)</f>
        <v>0</v>
      </c>
      <c r="Q67" s="100">
        <f>SUMIF([1]ChkDJ!$H$849:$H$867,B67:B472,[1]ChkDJ!$K$849:$K$867)</f>
        <v>0</v>
      </c>
      <c r="R67" s="100">
        <f>SUMIF([1]CDJ!$H$190:$H$197,B67:B472,[1]CDJ!$J$190:$J$197)</f>
        <v>0</v>
      </c>
      <c r="S67" s="100">
        <f>SUMIF([1]CDJ!$H$190:$H$197,B67:B472,[1]CDJ!$K$190:$K$197)</f>
        <v>0</v>
      </c>
      <c r="T67" s="102">
        <f>SUMIF([1]GL!$H$448:$H$480,B67:B477,[1]GL!$J$448:$J$487)</f>
        <v>0</v>
      </c>
      <c r="U67" s="100">
        <f>SUMIF([1]GL!$H$448:$H$480,B67:B477,[1]GL!$K$448:$K$487)</f>
        <v>0</v>
      </c>
      <c r="V67" s="102"/>
      <c r="W67" s="100"/>
      <c r="X67" s="101"/>
      <c r="Y67" s="353"/>
    </row>
    <row r="68" spans="1:25" s="344" customFormat="1" ht="15.75" hidden="1" customHeight="1">
      <c r="A68" s="419" t="s">
        <v>555</v>
      </c>
      <c r="B68" s="423">
        <v>193</v>
      </c>
      <c r="C68" s="420">
        <f t="shared" si="3"/>
        <v>0</v>
      </c>
      <c r="D68" s="420"/>
      <c r="E68" s="420"/>
      <c r="F68" s="650">
        <v>0</v>
      </c>
      <c r="G68" s="651"/>
      <c r="H68" s="593">
        <v>0</v>
      </c>
      <c r="I68" s="98">
        <f t="shared" si="0"/>
        <v>0</v>
      </c>
      <c r="J68" s="98">
        <f t="shared" si="0"/>
        <v>0</v>
      </c>
      <c r="K68" s="96">
        <f t="shared" si="1"/>
        <v>0</v>
      </c>
      <c r="L68" s="96"/>
      <c r="M68" s="96">
        <f t="shared" si="2"/>
        <v>0</v>
      </c>
      <c r="N68" s="107">
        <f>SUMIF([1]CRJ!$H$880:$H$894,B68:B473,[1]CRJ!$J$880:$J$894)</f>
        <v>0</v>
      </c>
      <c r="O68" s="100">
        <f>SUMIF([1]CRJ!$H$880:$H$894,B68:B473,[1]CRJ!$K$880:$K$894)</f>
        <v>0</v>
      </c>
      <c r="P68" s="100">
        <f>SUMIF([1]ChkDJ!$H$849:$H$867,B68:B473,[1]ChkDJ!$J$849:$J$867)</f>
        <v>0</v>
      </c>
      <c r="Q68" s="100">
        <f>SUMIF([1]ChkDJ!$H$849:$H$867,B68:B473,[1]ChkDJ!$K$849:$K$867)</f>
        <v>0</v>
      </c>
      <c r="R68" s="100">
        <f>SUMIF([1]CDJ!$H$190:$H$197,B68:B473,[1]CDJ!$J$190:$J$197)</f>
        <v>0</v>
      </c>
      <c r="S68" s="100">
        <f>SUMIF([1]CDJ!$H$190:$H$197,B68:B473,[1]CDJ!$K$190:$K$197)</f>
        <v>0</v>
      </c>
      <c r="T68" s="102">
        <f>SUMIF([1]GL!$H$448:$H$480,B68:B478,[1]GL!$J$448:$J$487)</f>
        <v>0</v>
      </c>
      <c r="U68" s="100">
        <f>SUMIF([1]GL!$H$448:$H$480,B68:B478,[1]GL!$K$448:$K$487)</f>
        <v>0</v>
      </c>
      <c r="V68" s="102"/>
      <c r="W68" s="100"/>
      <c r="X68" s="101"/>
      <c r="Y68" s="353"/>
    </row>
    <row r="69" spans="1:25" s="344" customFormat="1" ht="15.75" hidden="1" customHeight="1">
      <c r="A69" s="419" t="s">
        <v>556</v>
      </c>
      <c r="B69" s="423">
        <v>197</v>
      </c>
      <c r="C69" s="420">
        <f t="shared" si="3"/>
        <v>0</v>
      </c>
      <c r="D69" s="420"/>
      <c r="E69" s="420"/>
      <c r="F69" s="650">
        <v>0</v>
      </c>
      <c r="G69" s="651"/>
      <c r="H69" s="593">
        <v>0</v>
      </c>
      <c r="I69" s="98">
        <f t="shared" si="0"/>
        <v>0</v>
      </c>
      <c r="J69" s="98">
        <f t="shared" si="0"/>
        <v>0</v>
      </c>
      <c r="K69" s="96">
        <f t="shared" si="1"/>
        <v>0</v>
      </c>
      <c r="L69" s="96"/>
      <c r="M69" s="96">
        <f t="shared" si="2"/>
        <v>0</v>
      </c>
      <c r="N69" s="107">
        <f>SUMIF([1]CRJ!$H$880:$H$894,B69:B474,[1]CRJ!$J$880:$J$894)</f>
        <v>0</v>
      </c>
      <c r="O69" s="100">
        <f>SUMIF([1]CRJ!$H$880:$H$894,B69:B474,[1]CRJ!$K$880:$K$894)</f>
        <v>0</v>
      </c>
      <c r="P69" s="100">
        <f>SUMIF([1]ChkDJ!$H$849:$H$867,B69:B474,[1]ChkDJ!$J$849:$J$867)</f>
        <v>0</v>
      </c>
      <c r="Q69" s="100">
        <f>SUMIF([1]ChkDJ!$H$849:$H$867,B69:B474,[1]ChkDJ!$K$849:$K$867)</f>
        <v>0</v>
      </c>
      <c r="R69" s="100">
        <f>SUMIF([1]CDJ!$H$190:$H$197,B69:B474,[1]CDJ!$J$190:$J$197)</f>
        <v>0</v>
      </c>
      <c r="S69" s="100">
        <f>SUMIF([1]CDJ!$H$190:$H$197,B69:B474,[1]CDJ!$K$190:$K$197)</f>
        <v>0</v>
      </c>
      <c r="T69" s="102">
        <f>SUMIF([1]GL!$H$448:$H$480,B69:B479,[1]GL!$J$448:$J$487)</f>
        <v>0</v>
      </c>
      <c r="U69" s="100">
        <f>SUMIF([1]GL!$H$448:$H$480,B69:B479,[1]GL!$K$448:$K$487)</f>
        <v>0</v>
      </c>
      <c r="V69" s="102"/>
      <c r="W69" s="100"/>
      <c r="X69" s="101"/>
      <c r="Y69" s="353"/>
    </row>
    <row r="70" spans="1:25" s="344" customFormat="1" ht="15.75" hidden="1" customHeight="1">
      <c r="A70" s="419" t="s">
        <v>557</v>
      </c>
      <c r="B70" s="423">
        <v>198</v>
      </c>
      <c r="C70" s="420">
        <f t="shared" si="3"/>
        <v>0</v>
      </c>
      <c r="D70" s="420"/>
      <c r="E70" s="420"/>
      <c r="F70" s="650">
        <v>0</v>
      </c>
      <c r="G70" s="651"/>
      <c r="H70" s="593">
        <v>0</v>
      </c>
      <c r="I70" s="98">
        <f t="shared" si="0"/>
        <v>0</v>
      </c>
      <c r="J70" s="98">
        <f t="shared" si="0"/>
        <v>0</v>
      </c>
      <c r="K70" s="96">
        <f t="shared" si="1"/>
        <v>0</v>
      </c>
      <c r="L70" s="96"/>
      <c r="M70" s="96">
        <f t="shared" si="2"/>
        <v>0</v>
      </c>
      <c r="N70" s="107">
        <f>SUMIF([1]CRJ!$H$880:$H$894,B70:B475,[1]CRJ!$J$880:$J$894)</f>
        <v>0</v>
      </c>
      <c r="O70" s="100">
        <f>SUMIF([1]CRJ!$H$880:$H$894,B70:B475,[1]CRJ!$K$880:$K$894)</f>
        <v>0</v>
      </c>
      <c r="P70" s="100">
        <f>SUMIF([1]ChkDJ!$H$849:$H$867,B70:B475,[1]ChkDJ!$J$849:$J$867)</f>
        <v>0</v>
      </c>
      <c r="Q70" s="100">
        <f>SUMIF([1]ChkDJ!$H$849:$H$867,B70:B475,[1]ChkDJ!$K$849:$K$867)</f>
        <v>0</v>
      </c>
      <c r="R70" s="100">
        <f>SUMIF([1]CDJ!$H$190:$H$197,B70:B475,[1]CDJ!$J$190:$J$197)</f>
        <v>0</v>
      </c>
      <c r="S70" s="100">
        <f>SUMIF([1]CDJ!$H$190:$H$197,B70:B475,[1]CDJ!$K$190:$K$197)</f>
        <v>0</v>
      </c>
      <c r="T70" s="102">
        <f>SUMIF([1]GL!$H$448:$H$480,B70:B480,[1]GL!$J$448:$J$487)</f>
        <v>0</v>
      </c>
      <c r="U70" s="100">
        <f>SUMIF([1]GL!$H$448:$H$480,B70:B480,[1]GL!$K$448:$K$487)</f>
        <v>0</v>
      </c>
      <c r="V70" s="102"/>
      <c r="W70" s="100"/>
      <c r="X70" s="101"/>
      <c r="Y70" s="353"/>
    </row>
    <row r="71" spans="1:25" ht="15.75">
      <c r="A71" s="93" t="s">
        <v>356</v>
      </c>
      <c r="B71" s="513">
        <v>201</v>
      </c>
      <c r="C71" s="94">
        <f t="shared" si="3"/>
        <v>45000</v>
      </c>
      <c r="D71" s="94"/>
      <c r="E71" s="95"/>
      <c r="F71" s="648">
        <v>45000</v>
      </c>
      <c r="G71" s="649"/>
      <c r="H71" s="96">
        <v>0</v>
      </c>
      <c r="I71" s="98">
        <f t="shared" si="0"/>
        <v>0</v>
      </c>
      <c r="J71" s="98">
        <f t="shared" si="0"/>
        <v>0</v>
      </c>
      <c r="K71" s="96">
        <f t="shared" si="1"/>
        <v>45000</v>
      </c>
      <c r="L71" s="96"/>
      <c r="M71" s="96">
        <f t="shared" si="2"/>
        <v>0</v>
      </c>
      <c r="N71" s="107">
        <f>SUMIF([1]CRJ!$H$880:$H$894,B71:B476,[1]CRJ!$J$880:$J$894)</f>
        <v>0</v>
      </c>
      <c r="O71" s="100">
        <f>SUMIF([1]CRJ!$H$880:$H$894,B71:B476,[1]CRJ!$K$880:$K$894)</f>
        <v>0</v>
      </c>
      <c r="P71" s="100">
        <f>SUMIF([1]ChkDJ!$H$849:$H$867,B71:B476,[1]ChkDJ!$J$849:$J$867)</f>
        <v>0</v>
      </c>
      <c r="Q71" s="100">
        <f>SUMIF([1]ChkDJ!$H$849:$H$867,B71:B476,[1]ChkDJ!$K$849:$K$867)</f>
        <v>0</v>
      </c>
      <c r="R71" s="100">
        <f>SUMIF([1]CDJ!$H$190:$H$197,B71:B476,[1]CDJ!$J$190:$J$197)</f>
        <v>0</v>
      </c>
      <c r="S71" s="100">
        <f>SUMIF([1]CDJ!$H$190:$H$197,B71:B476,[1]CDJ!$K$190:$K$197)</f>
        <v>0</v>
      </c>
      <c r="T71" s="102">
        <f>SUMIF([1]GL!$H$448:$H$480,B71:B481,[1]GL!$J$448:$J$487)</f>
        <v>0</v>
      </c>
      <c r="U71" s="100">
        <f>SUMIF([1]GL!$H$448:$H$480,B71:B481,[1]GL!$K$448:$K$487)</f>
        <v>0</v>
      </c>
      <c r="V71" s="102"/>
      <c r="W71" s="100"/>
      <c r="X71" s="101"/>
      <c r="Y71" s="353"/>
    </row>
    <row r="72" spans="1:25" ht="15.75">
      <c r="A72" s="93" t="s">
        <v>27</v>
      </c>
      <c r="B72" s="513">
        <v>202</v>
      </c>
      <c r="C72" s="94">
        <f t="shared" si="3"/>
        <v>4038778.11</v>
      </c>
      <c r="D72" s="94"/>
      <c r="E72" s="94"/>
      <c r="F72" s="648">
        <v>4038778.11</v>
      </c>
      <c r="G72" s="649"/>
      <c r="H72" s="96">
        <v>0</v>
      </c>
      <c r="I72" s="98">
        <f t="shared" si="0"/>
        <v>0</v>
      </c>
      <c r="J72" s="98">
        <f t="shared" si="0"/>
        <v>0</v>
      </c>
      <c r="K72" s="96">
        <f t="shared" si="1"/>
        <v>4038778.11</v>
      </c>
      <c r="L72" s="96"/>
      <c r="M72" s="96">
        <f t="shared" si="2"/>
        <v>0</v>
      </c>
      <c r="N72" s="107">
        <f>SUMIF([1]CRJ!$H$880:$H$894,B72:B477,[1]CRJ!$J$880:$J$894)</f>
        <v>0</v>
      </c>
      <c r="O72" s="100">
        <f>SUMIF([1]CRJ!$H$880:$H$894,B72:B477,[1]CRJ!$K$880:$K$894)</f>
        <v>0</v>
      </c>
      <c r="P72" s="100">
        <f>SUMIF([1]ChkDJ!$H$849:$H$867,B72:B477,[1]ChkDJ!$J$849:$J$867)</f>
        <v>0</v>
      </c>
      <c r="Q72" s="100">
        <f>SUMIF([1]ChkDJ!$H$849:$H$867,B72:B477,[1]ChkDJ!$K$849:$K$867)</f>
        <v>0</v>
      </c>
      <c r="R72" s="100">
        <f>SUMIF([1]CDJ!$H$190:$H$197,B72:B477,[1]CDJ!$J$190:$J$197)</f>
        <v>0</v>
      </c>
      <c r="S72" s="100">
        <f>SUMIF([1]CDJ!$H$190:$H$197,B72:B477,[1]CDJ!$K$190:$K$197)</f>
        <v>0</v>
      </c>
      <c r="T72" s="102">
        <f>SUMIF([1]GL!$H$448:$H$480,B72:B482,[1]GL!$J$448:$J$487)</f>
        <v>0</v>
      </c>
      <c r="U72" s="100">
        <f>SUMIF([1]GL!$H$448:$H$480,B72:B482,[1]GL!$K$448:$K$487)</f>
        <v>0</v>
      </c>
      <c r="V72" s="102"/>
      <c r="W72" s="100"/>
      <c r="X72" s="101"/>
      <c r="Y72" s="353"/>
    </row>
    <row r="73" spans="1:25" s="344" customFormat="1" ht="15.75" hidden="1" customHeight="1">
      <c r="A73" s="419" t="s">
        <v>558</v>
      </c>
      <c r="B73" s="423">
        <v>302</v>
      </c>
      <c r="C73" s="420"/>
      <c r="D73" s="420"/>
      <c r="E73" s="420">
        <f>+M73-K73</f>
        <v>0</v>
      </c>
      <c r="F73" s="650">
        <v>0</v>
      </c>
      <c r="G73" s="651"/>
      <c r="H73" s="593">
        <v>0</v>
      </c>
      <c r="I73" s="98">
        <f t="shared" ref="I73:J136" si="5">+N73+P73+R73+T73+V73+X73</f>
        <v>0</v>
      </c>
      <c r="J73" s="98">
        <f t="shared" si="5"/>
        <v>0</v>
      </c>
      <c r="K73" s="96">
        <f t="shared" ref="K73:K137" si="6">+F73+I73</f>
        <v>0</v>
      </c>
      <c r="L73" s="96"/>
      <c r="M73" s="96">
        <f t="shared" si="2"/>
        <v>0</v>
      </c>
      <c r="N73" s="107">
        <f>SUMIF([1]CRJ!$H$880:$H$894,B73:B478,[1]CRJ!$J$880:$J$894)</f>
        <v>0</v>
      </c>
      <c r="O73" s="100">
        <f>SUMIF([1]CRJ!$H$880:$H$894,B73:B478,[1]CRJ!$K$880:$K$894)</f>
        <v>0</v>
      </c>
      <c r="P73" s="100">
        <f>SUMIF([1]ChkDJ!$H$849:$H$867,B73:B478,[1]ChkDJ!$J$849:$J$867)</f>
        <v>0</v>
      </c>
      <c r="Q73" s="100">
        <f>SUMIF([1]ChkDJ!$H$849:$H$867,B73:B478,[1]ChkDJ!$K$849:$K$867)</f>
        <v>0</v>
      </c>
      <c r="R73" s="100">
        <f>SUMIF([1]CDJ!$H$190:$H$197,B73:B478,[1]CDJ!$J$190:$J$197)</f>
        <v>0</v>
      </c>
      <c r="S73" s="100">
        <f>SUMIF([1]CDJ!$H$190:$H$197,B73:B478,[1]CDJ!$K$190:$K$197)</f>
        <v>0</v>
      </c>
      <c r="T73" s="102">
        <f>SUMIF([1]GL!$H$448:$H$480,B73:B483,[1]GL!$J$448:$J$487)</f>
        <v>0</v>
      </c>
      <c r="U73" s="100">
        <f>SUMIF([1]GL!$H$448:$H$480,B73:B483,[1]GL!$K$448:$K$487)</f>
        <v>0</v>
      </c>
      <c r="V73" s="102"/>
      <c r="W73" s="100"/>
      <c r="X73" s="101"/>
      <c r="Y73" s="353"/>
    </row>
    <row r="74" spans="1:25" ht="15.75">
      <c r="A74" s="93" t="s">
        <v>358</v>
      </c>
      <c r="B74" s="513">
        <v>205</v>
      </c>
      <c r="C74" s="94">
        <f t="shared" si="3"/>
        <v>157176.54999999999</v>
      </c>
      <c r="D74" s="94"/>
      <c r="E74" s="94"/>
      <c r="F74" s="648">
        <v>157176.54999999999</v>
      </c>
      <c r="G74" s="649"/>
      <c r="H74" s="96">
        <v>0</v>
      </c>
      <c r="I74" s="98">
        <f t="shared" si="5"/>
        <v>0</v>
      </c>
      <c r="J74" s="98">
        <f t="shared" si="5"/>
        <v>0</v>
      </c>
      <c r="K74" s="96">
        <f t="shared" si="6"/>
        <v>157176.54999999999</v>
      </c>
      <c r="L74" s="96"/>
      <c r="M74" s="96">
        <f t="shared" si="2"/>
        <v>0</v>
      </c>
      <c r="N74" s="107">
        <f>SUMIF([1]CRJ!$H$880:$H$894,B74:B479,[1]CRJ!$J$880:$J$894)</f>
        <v>0</v>
      </c>
      <c r="O74" s="100">
        <f>SUMIF([1]CRJ!$H$880:$H$894,B74:B479,[1]CRJ!$K$880:$K$894)</f>
        <v>0</v>
      </c>
      <c r="P74" s="100">
        <f>SUMIF([1]ChkDJ!$H$849:$H$867,B74:B479,[1]ChkDJ!$J$849:$J$867)</f>
        <v>0</v>
      </c>
      <c r="Q74" s="100">
        <f>SUMIF([1]ChkDJ!$H$849:$H$867,B74:B479,[1]ChkDJ!$K$849:$K$867)</f>
        <v>0</v>
      </c>
      <c r="R74" s="100">
        <f>SUMIF([1]CDJ!$H$190:$H$197,B74:B479,[1]CDJ!$J$190:$J$197)</f>
        <v>0</v>
      </c>
      <c r="S74" s="100">
        <f>SUMIF([1]CDJ!$H$190:$H$197,B74:B479,[1]CDJ!$K$190:$K$197)</f>
        <v>0</v>
      </c>
      <c r="T74" s="102">
        <f>SUMIF([1]GL!$H$448:$H$480,B74:B484,[1]GL!$J$448:$J$487)</f>
        <v>0</v>
      </c>
      <c r="U74" s="100">
        <f>SUMIF([1]GL!$H$448:$H$480,B74:B484,[1]GL!$K$448:$K$487)</f>
        <v>0</v>
      </c>
      <c r="V74" s="102"/>
      <c r="W74" s="100"/>
      <c r="X74" s="101"/>
      <c r="Y74" s="353"/>
    </row>
    <row r="75" spans="1:25" s="344" customFormat="1" ht="15.75" hidden="1" customHeight="1">
      <c r="A75" s="419" t="s">
        <v>559</v>
      </c>
      <c r="B75" s="423">
        <v>305</v>
      </c>
      <c r="C75" s="420"/>
      <c r="D75" s="420"/>
      <c r="E75" s="420">
        <f>+M75-K75</f>
        <v>0</v>
      </c>
      <c r="F75" s="650">
        <v>0</v>
      </c>
      <c r="G75" s="651"/>
      <c r="H75" s="593">
        <v>0</v>
      </c>
      <c r="I75" s="98">
        <f t="shared" si="5"/>
        <v>0</v>
      </c>
      <c r="J75" s="98">
        <f t="shared" si="5"/>
        <v>0</v>
      </c>
      <c r="K75" s="96">
        <f t="shared" si="6"/>
        <v>0</v>
      </c>
      <c r="L75" s="96"/>
      <c r="M75" s="96">
        <f t="shared" ref="M75:M138" si="7">+H75+J75</f>
        <v>0</v>
      </c>
      <c r="N75" s="107">
        <f>SUMIF([1]CRJ!$H$880:$H$894,B75:B480,[1]CRJ!$J$880:$J$894)</f>
        <v>0</v>
      </c>
      <c r="O75" s="100">
        <f>SUMIF([1]CRJ!$H$880:$H$894,B75:B480,[1]CRJ!$K$880:$K$894)</f>
        <v>0</v>
      </c>
      <c r="P75" s="100">
        <f>SUMIF([1]ChkDJ!$H$849:$H$867,B75:B480,[1]ChkDJ!$J$849:$J$867)</f>
        <v>0</v>
      </c>
      <c r="Q75" s="100">
        <f>SUMIF([1]ChkDJ!$H$849:$H$867,B75:B480,[1]ChkDJ!$K$849:$K$867)</f>
        <v>0</v>
      </c>
      <c r="R75" s="100">
        <f>SUMIF([1]CDJ!$H$190:$H$197,B75:B480,[1]CDJ!$J$190:$J$197)</f>
        <v>0</v>
      </c>
      <c r="S75" s="100">
        <f>SUMIF([1]CDJ!$H$190:$H$197,B75:B480,[1]CDJ!$K$190:$K$197)</f>
        <v>0</v>
      </c>
      <c r="T75" s="102">
        <f>SUMIF([1]GL!$H$448:$H$480,B75:B485,[1]GL!$J$448:$J$487)</f>
        <v>0</v>
      </c>
      <c r="U75" s="100">
        <f>SUMIF([1]GL!$H$448:$H$480,B75:B485,[1]GL!$K$448:$K$487)</f>
        <v>0</v>
      </c>
      <c r="V75" s="102"/>
      <c r="W75" s="100"/>
      <c r="X75" s="101"/>
      <c r="Y75" s="353"/>
    </row>
    <row r="76" spans="1:25" ht="15.75">
      <c r="A76" s="93" t="s">
        <v>28</v>
      </c>
      <c r="B76" s="513">
        <v>211</v>
      </c>
      <c r="C76" s="94">
        <f t="shared" si="3"/>
        <v>432196.28</v>
      </c>
      <c r="D76" s="94"/>
      <c r="E76" s="94"/>
      <c r="F76" s="648">
        <v>432196.28</v>
      </c>
      <c r="G76" s="649"/>
      <c r="H76" s="96">
        <v>0</v>
      </c>
      <c r="I76" s="98">
        <f t="shared" si="5"/>
        <v>0</v>
      </c>
      <c r="J76" s="98">
        <f t="shared" si="5"/>
        <v>0</v>
      </c>
      <c r="K76" s="96">
        <f t="shared" si="6"/>
        <v>432196.28</v>
      </c>
      <c r="L76" s="96"/>
      <c r="M76" s="96">
        <f t="shared" si="7"/>
        <v>0</v>
      </c>
      <c r="N76" s="107">
        <f>SUMIF([1]CRJ!$H$880:$H$894,B76:B481,[1]CRJ!$J$880:$J$894)</f>
        <v>0</v>
      </c>
      <c r="O76" s="100">
        <f>SUMIF([1]CRJ!$H$880:$H$894,B76:B481,[1]CRJ!$K$880:$K$894)</f>
        <v>0</v>
      </c>
      <c r="P76" s="100">
        <f>SUMIF([1]ChkDJ!$H$849:$H$867,B76:B481,[1]ChkDJ!$J$849:$J$867)</f>
        <v>0</v>
      </c>
      <c r="Q76" s="100">
        <f>SUMIF([1]ChkDJ!$H$849:$H$867,B76:B481,[1]ChkDJ!$K$849:$K$867)</f>
        <v>0</v>
      </c>
      <c r="R76" s="100">
        <f>SUMIF([1]CDJ!$H$190:$H$197,B76:B481,[1]CDJ!$J$190:$J$197)</f>
        <v>0</v>
      </c>
      <c r="S76" s="100">
        <f>SUMIF([1]CDJ!$H$190:$H$197,B76:B481,[1]CDJ!$K$190:$K$197)</f>
        <v>0</v>
      </c>
      <c r="T76" s="102">
        <f>SUMIF([1]GL!$H$448:$H$480,B76:B486,[1]GL!$J$448:$J$487)</f>
        <v>0</v>
      </c>
      <c r="U76" s="100">
        <f>SUMIF([1]GL!$H$448:$H$480,B76:B486,[1]GL!$K$448:$K$487)</f>
        <v>0</v>
      </c>
      <c r="V76" s="102"/>
      <c r="W76" s="100"/>
      <c r="X76" s="101"/>
      <c r="Y76" s="353"/>
    </row>
    <row r="77" spans="1:25" s="344" customFormat="1" ht="15.75" hidden="1" customHeight="1">
      <c r="A77" s="419" t="s">
        <v>560</v>
      </c>
      <c r="B77" s="423">
        <v>311</v>
      </c>
      <c r="C77" s="420"/>
      <c r="D77" s="420"/>
      <c r="E77" s="420">
        <f>+M77-K77</f>
        <v>0</v>
      </c>
      <c r="F77" s="650">
        <v>0</v>
      </c>
      <c r="G77" s="651"/>
      <c r="H77" s="593">
        <v>0</v>
      </c>
      <c r="I77" s="98">
        <f t="shared" si="5"/>
        <v>0</v>
      </c>
      <c r="J77" s="98">
        <f t="shared" si="5"/>
        <v>0</v>
      </c>
      <c r="K77" s="96">
        <f t="shared" si="6"/>
        <v>0</v>
      </c>
      <c r="L77" s="96"/>
      <c r="M77" s="96">
        <f t="shared" si="7"/>
        <v>0</v>
      </c>
      <c r="N77" s="107">
        <f>SUMIF([1]CRJ!$H$880:$H$894,B77:B482,[1]CRJ!$J$880:$J$894)</f>
        <v>0</v>
      </c>
      <c r="O77" s="100">
        <f>SUMIF([1]CRJ!$H$880:$H$894,B77:B482,[1]CRJ!$K$880:$K$894)</f>
        <v>0</v>
      </c>
      <c r="P77" s="100">
        <f>SUMIF([1]ChkDJ!$H$849:$H$867,B77:B482,[1]ChkDJ!$J$849:$J$867)</f>
        <v>0</v>
      </c>
      <c r="Q77" s="100">
        <f>SUMIF([1]ChkDJ!$H$849:$H$867,B77:B482,[1]ChkDJ!$K$849:$K$867)</f>
        <v>0</v>
      </c>
      <c r="R77" s="100">
        <f>SUMIF([1]CDJ!$H$190:$H$197,B77:B482,[1]CDJ!$J$190:$J$197)</f>
        <v>0</v>
      </c>
      <c r="S77" s="100">
        <f>SUMIF([1]CDJ!$H$190:$H$197,B77:B482,[1]CDJ!$K$190:$K$197)</f>
        <v>0</v>
      </c>
      <c r="T77" s="102">
        <f>SUMIF([1]GL!$H$448:$H$480,B77:B487,[1]GL!$J$448:$J$487)</f>
        <v>0</v>
      </c>
      <c r="U77" s="100">
        <f>SUMIF([1]GL!$H$448:$H$480,B77:B487,[1]GL!$K$448:$K$487)</f>
        <v>0</v>
      </c>
      <c r="V77" s="102"/>
      <c r="W77" s="100"/>
      <c r="X77" s="101"/>
      <c r="Y77" s="353"/>
    </row>
    <row r="78" spans="1:25" ht="15.75">
      <c r="A78" s="93" t="s">
        <v>29</v>
      </c>
      <c r="B78" s="513">
        <v>212</v>
      </c>
      <c r="C78" s="94">
        <f t="shared" si="3"/>
        <v>35073578.539999999</v>
      </c>
      <c r="D78" s="94"/>
      <c r="E78" s="94"/>
      <c r="F78" s="648">
        <v>35073578.539999999</v>
      </c>
      <c r="G78" s="649"/>
      <c r="H78" s="99">
        <v>0</v>
      </c>
      <c r="I78" s="98">
        <f t="shared" si="5"/>
        <v>0</v>
      </c>
      <c r="J78" s="98">
        <f t="shared" si="5"/>
        <v>0</v>
      </c>
      <c r="K78" s="96">
        <f t="shared" si="6"/>
        <v>35073578.539999999</v>
      </c>
      <c r="L78" s="96"/>
      <c r="M78" s="96">
        <f t="shared" si="7"/>
        <v>0</v>
      </c>
      <c r="N78" s="107">
        <f>SUMIF([1]CRJ!$H$880:$H$894,B78:B483,[1]CRJ!$J$880:$J$894)</f>
        <v>0</v>
      </c>
      <c r="O78" s="100">
        <f>SUMIF([1]CRJ!$H$880:$H$894,B78:B483,[1]CRJ!$K$880:$K$894)</f>
        <v>0</v>
      </c>
      <c r="P78" s="100">
        <f>SUMIF([1]ChkDJ!$H$849:$H$867,B78:B483,[1]ChkDJ!$J$849:$J$867)</f>
        <v>0</v>
      </c>
      <c r="Q78" s="100">
        <f>SUMIF([1]ChkDJ!$H$849:$H$867,B78:B483,[1]ChkDJ!$K$849:$K$867)</f>
        <v>0</v>
      </c>
      <c r="R78" s="100">
        <f>SUMIF([1]CDJ!$H$190:$H$197,B78:B483,[1]CDJ!$J$190:$J$197)</f>
        <v>0</v>
      </c>
      <c r="S78" s="100">
        <f>SUMIF([1]CDJ!$H$190:$H$197,B78:B483,[1]CDJ!$K$190:$K$197)</f>
        <v>0</v>
      </c>
      <c r="T78" s="102">
        <f>SUMIF([1]GL!$H$448:$H$480,B78:B488,[1]GL!$J$448:$J$487)</f>
        <v>0</v>
      </c>
      <c r="U78" s="100">
        <f>SUMIF([1]GL!$H$448:$H$480,B78:B488,[1]GL!$K$448:$K$487)</f>
        <v>0</v>
      </c>
      <c r="V78" s="102"/>
      <c r="W78" s="100"/>
      <c r="X78" s="101"/>
      <c r="Y78" s="353"/>
    </row>
    <row r="79" spans="1:25" ht="15.75">
      <c r="A79" s="93" t="s">
        <v>561</v>
      </c>
      <c r="B79" s="513">
        <v>312</v>
      </c>
      <c r="C79" s="94"/>
      <c r="D79" s="94"/>
      <c r="E79" s="94">
        <f>+M79-K79</f>
        <v>3253692.2500000009</v>
      </c>
      <c r="F79" s="648">
        <v>0</v>
      </c>
      <c r="G79" s="649"/>
      <c r="H79" s="99">
        <v>3174944.2300000009</v>
      </c>
      <c r="I79" s="98">
        <f t="shared" si="5"/>
        <v>0</v>
      </c>
      <c r="J79" s="98">
        <f t="shared" si="5"/>
        <v>78748.02</v>
      </c>
      <c r="K79" s="96">
        <f t="shared" si="6"/>
        <v>0</v>
      </c>
      <c r="L79" s="96"/>
      <c r="M79" s="96">
        <f t="shared" si="7"/>
        <v>3253692.2500000009</v>
      </c>
      <c r="N79" s="107">
        <f>SUMIF([1]CRJ!$H$880:$H$894,B79:B484,[1]CRJ!$J$880:$J$894)</f>
        <v>0</v>
      </c>
      <c r="O79" s="100">
        <f>SUMIF([1]CRJ!$H$880:$H$894,B79:B484,[1]CRJ!$K$880:$K$894)</f>
        <v>0</v>
      </c>
      <c r="P79" s="100">
        <f>SUMIF([1]ChkDJ!$H$849:$H$867,B79:B484,[1]ChkDJ!$J$849:$J$867)</f>
        <v>0</v>
      </c>
      <c r="Q79" s="100">
        <f>SUMIF([1]ChkDJ!$H$849:$H$867,B79:B484,[1]ChkDJ!$K$849:$K$867)</f>
        <v>0</v>
      </c>
      <c r="R79" s="100">
        <f>SUMIF([1]CDJ!$H$190:$H$197,B79:B484,[1]CDJ!$J$190:$J$197)</f>
        <v>0</v>
      </c>
      <c r="S79" s="100">
        <f>SUMIF([1]CDJ!$H$190:$H$197,B79:B484,[1]CDJ!$K$190:$K$197)</f>
        <v>0</v>
      </c>
      <c r="T79" s="102">
        <f>SUMIF([1]GL!$H$448:$H$480,B79:B489,[1]GL!$J$448:$J$487)</f>
        <v>0</v>
      </c>
      <c r="U79" s="100">
        <f>SUMIF([1]GL!$H$448:$H$480,B79:B489,[1]GL!$K$448:$K$487)</f>
        <v>78748.02</v>
      </c>
      <c r="V79" s="102"/>
      <c r="W79" s="100"/>
      <c r="X79" s="101"/>
      <c r="Y79" s="353"/>
    </row>
    <row r="80" spans="1:25" s="344" customFormat="1" ht="15.75" hidden="1" customHeight="1">
      <c r="A80" s="419" t="s">
        <v>562</v>
      </c>
      <c r="B80" s="423">
        <v>213</v>
      </c>
      <c r="C80" s="420">
        <f>+K80-M80</f>
        <v>0</v>
      </c>
      <c r="D80" s="420"/>
      <c r="E80" s="420"/>
      <c r="F80" s="650">
        <v>0</v>
      </c>
      <c r="G80" s="651"/>
      <c r="H80" s="652">
        <v>0</v>
      </c>
      <c r="I80" s="98">
        <f t="shared" si="5"/>
        <v>0</v>
      </c>
      <c r="J80" s="98">
        <f t="shared" si="5"/>
        <v>0</v>
      </c>
      <c r="K80" s="96">
        <f t="shared" si="6"/>
        <v>0</v>
      </c>
      <c r="L80" s="96"/>
      <c r="M80" s="96">
        <f t="shared" si="7"/>
        <v>0</v>
      </c>
      <c r="N80" s="107">
        <f>SUMIF([1]CRJ!$H$880:$H$894,B80:B485,[1]CRJ!$J$880:$J$894)</f>
        <v>0</v>
      </c>
      <c r="O80" s="100">
        <f>SUMIF([1]CRJ!$H$880:$H$894,B80:B485,[1]CRJ!$K$880:$K$894)</f>
        <v>0</v>
      </c>
      <c r="P80" s="100">
        <f>SUMIF([1]ChkDJ!$H$849:$H$867,B80:B485,[1]ChkDJ!$J$849:$J$867)</f>
        <v>0</v>
      </c>
      <c r="Q80" s="100">
        <f>SUMIF([1]ChkDJ!$H$849:$H$867,B80:B485,[1]ChkDJ!$K$849:$K$867)</f>
        <v>0</v>
      </c>
      <c r="R80" s="100">
        <f>SUMIF([1]CDJ!$H$190:$H$197,B80:B485,[1]CDJ!$J$190:$J$197)</f>
        <v>0</v>
      </c>
      <c r="S80" s="100">
        <f>SUMIF([1]CDJ!$H$190:$H$197,B80:B485,[1]CDJ!$K$190:$K$197)</f>
        <v>0</v>
      </c>
      <c r="T80" s="102">
        <f>SUMIF([1]GL!$H$448:$H$480,B80:B490,[1]GL!$J$448:$J$487)</f>
        <v>0</v>
      </c>
      <c r="U80" s="100">
        <f>SUMIF([1]GL!$H$448:$H$480,B80:B490,[1]GL!$K$448:$K$487)</f>
        <v>0</v>
      </c>
      <c r="V80" s="102"/>
      <c r="W80" s="100"/>
      <c r="X80" s="101"/>
      <c r="Y80" s="353"/>
    </row>
    <row r="81" spans="1:25" s="344" customFormat="1" ht="15.75" hidden="1" customHeight="1">
      <c r="A81" s="419" t="s">
        <v>563</v>
      </c>
      <c r="B81" s="423">
        <v>313</v>
      </c>
      <c r="C81" s="420"/>
      <c r="D81" s="420"/>
      <c r="E81" s="420">
        <f>+M81-K81</f>
        <v>0</v>
      </c>
      <c r="F81" s="650">
        <v>0</v>
      </c>
      <c r="G81" s="651"/>
      <c r="H81" s="652">
        <v>0</v>
      </c>
      <c r="I81" s="98">
        <f t="shared" si="5"/>
        <v>0</v>
      </c>
      <c r="J81" s="98">
        <f t="shared" si="5"/>
        <v>0</v>
      </c>
      <c r="K81" s="96">
        <f t="shared" si="6"/>
        <v>0</v>
      </c>
      <c r="L81" s="96"/>
      <c r="M81" s="96">
        <f t="shared" si="7"/>
        <v>0</v>
      </c>
      <c r="N81" s="107">
        <f>SUMIF([1]CRJ!$H$880:$H$894,B81:B486,[1]CRJ!$J$880:$J$894)</f>
        <v>0</v>
      </c>
      <c r="O81" s="100">
        <f>SUMIF([1]CRJ!$H$880:$H$894,B81:B486,[1]CRJ!$K$880:$K$894)</f>
        <v>0</v>
      </c>
      <c r="P81" s="100">
        <f>SUMIF([1]ChkDJ!$H$849:$H$867,B81:B486,[1]ChkDJ!$J$849:$J$867)</f>
        <v>0</v>
      </c>
      <c r="Q81" s="100">
        <f>SUMIF([1]ChkDJ!$H$849:$H$867,B81:B486,[1]ChkDJ!$K$849:$K$867)</f>
        <v>0</v>
      </c>
      <c r="R81" s="100">
        <f>SUMIF([1]CDJ!$H$190:$H$197,B81:B486,[1]CDJ!$J$190:$J$197)</f>
        <v>0</v>
      </c>
      <c r="S81" s="100">
        <f>SUMIF([1]CDJ!$H$190:$H$197,B81:B486,[1]CDJ!$K$190:$K$197)</f>
        <v>0</v>
      </c>
      <c r="T81" s="102">
        <f>SUMIF([1]GL!$H$448:$H$480,B81:B491,[1]GL!$J$448:$J$487)</f>
        <v>0</v>
      </c>
      <c r="U81" s="100">
        <f>SUMIF([1]GL!$H$448:$H$480,B81:B491,[1]GL!$K$448:$K$487)</f>
        <v>0</v>
      </c>
      <c r="V81" s="102"/>
      <c r="W81" s="100"/>
      <c r="X81" s="101"/>
      <c r="Y81" s="353"/>
    </row>
    <row r="82" spans="1:25" s="344" customFormat="1" ht="15.75" hidden="1" customHeight="1">
      <c r="A82" s="419" t="s">
        <v>564</v>
      </c>
      <c r="B82" s="423">
        <v>214</v>
      </c>
      <c r="C82" s="420">
        <f>+K82-M82</f>
        <v>0</v>
      </c>
      <c r="D82" s="420"/>
      <c r="E82" s="420"/>
      <c r="F82" s="650">
        <v>0</v>
      </c>
      <c r="G82" s="651"/>
      <c r="H82" s="652">
        <v>0</v>
      </c>
      <c r="I82" s="98">
        <f t="shared" si="5"/>
        <v>0</v>
      </c>
      <c r="J82" s="98">
        <f t="shared" si="5"/>
        <v>0</v>
      </c>
      <c r="K82" s="96">
        <f t="shared" si="6"/>
        <v>0</v>
      </c>
      <c r="L82" s="96"/>
      <c r="M82" s="96">
        <f t="shared" si="7"/>
        <v>0</v>
      </c>
      <c r="N82" s="107">
        <f>SUMIF([1]CRJ!$H$880:$H$894,B82:B487,[1]CRJ!$J$880:$J$894)</f>
        <v>0</v>
      </c>
      <c r="O82" s="100">
        <f>SUMIF([1]CRJ!$H$880:$H$894,B82:B487,[1]CRJ!$K$880:$K$894)</f>
        <v>0</v>
      </c>
      <c r="P82" s="100">
        <f>SUMIF([1]ChkDJ!$H$849:$H$867,B82:B487,[1]ChkDJ!$J$849:$J$867)</f>
        <v>0</v>
      </c>
      <c r="Q82" s="100">
        <f>SUMIF([1]ChkDJ!$H$849:$H$867,B82:B487,[1]ChkDJ!$K$849:$K$867)</f>
        <v>0</v>
      </c>
      <c r="R82" s="100">
        <f>SUMIF([1]CDJ!$H$190:$H$197,B82:B487,[1]CDJ!$J$190:$J$197)</f>
        <v>0</v>
      </c>
      <c r="S82" s="100">
        <f>SUMIF([1]CDJ!$H$190:$H$197,B82:B487,[1]CDJ!$K$190:$K$197)</f>
        <v>0</v>
      </c>
      <c r="T82" s="102">
        <f>SUMIF([1]GL!$H$448:$H$480,B82:B492,[1]GL!$J$448:$J$487)</f>
        <v>0</v>
      </c>
      <c r="U82" s="100">
        <f>SUMIF([1]GL!$H$448:$H$480,B82:B492,[1]GL!$K$448:$K$487)</f>
        <v>0</v>
      </c>
      <c r="V82" s="102"/>
      <c r="W82" s="100"/>
      <c r="X82" s="101"/>
      <c r="Y82" s="353"/>
    </row>
    <row r="83" spans="1:25" s="344" customFormat="1" ht="15.75" hidden="1" customHeight="1">
      <c r="A83" s="419" t="s">
        <v>565</v>
      </c>
      <c r="B83" s="423">
        <v>314</v>
      </c>
      <c r="C83" s="420"/>
      <c r="D83" s="420"/>
      <c r="E83" s="420">
        <f>+M83-K83</f>
        <v>0</v>
      </c>
      <c r="F83" s="650">
        <v>0</v>
      </c>
      <c r="G83" s="651"/>
      <c r="H83" s="652">
        <v>0</v>
      </c>
      <c r="I83" s="98">
        <f t="shared" si="5"/>
        <v>0</v>
      </c>
      <c r="J83" s="98">
        <f t="shared" si="5"/>
        <v>0</v>
      </c>
      <c r="K83" s="96">
        <f t="shared" si="6"/>
        <v>0</v>
      </c>
      <c r="L83" s="96"/>
      <c r="M83" s="96">
        <f t="shared" si="7"/>
        <v>0</v>
      </c>
      <c r="N83" s="107">
        <f>SUMIF([1]CRJ!$H$880:$H$894,B83:B488,[1]CRJ!$J$880:$J$894)</f>
        <v>0</v>
      </c>
      <c r="O83" s="100">
        <f>SUMIF([1]CRJ!$H$880:$H$894,B83:B488,[1]CRJ!$K$880:$K$894)</f>
        <v>0</v>
      </c>
      <c r="P83" s="100">
        <f>SUMIF([1]ChkDJ!$H$849:$H$867,B83:B488,[1]ChkDJ!$J$849:$J$867)</f>
        <v>0</v>
      </c>
      <c r="Q83" s="100">
        <f>SUMIF([1]ChkDJ!$H$849:$H$867,B83:B488,[1]ChkDJ!$K$849:$K$867)</f>
        <v>0</v>
      </c>
      <c r="R83" s="100">
        <f>SUMIF([1]CDJ!$H$190:$H$197,B83:B488,[1]CDJ!$J$190:$J$197)</f>
        <v>0</v>
      </c>
      <c r="S83" s="100">
        <f>SUMIF([1]CDJ!$H$190:$H$197,B83:B488,[1]CDJ!$K$190:$K$197)</f>
        <v>0</v>
      </c>
      <c r="T83" s="102">
        <f>SUMIF([1]GL!$H$448:$H$480,B83:B493,[1]GL!$J$448:$J$487)</f>
        <v>0</v>
      </c>
      <c r="U83" s="100">
        <f>SUMIF([1]GL!$H$448:$H$480,B83:B493,[1]GL!$K$448:$K$487)</f>
        <v>0</v>
      </c>
      <c r="V83" s="102"/>
      <c r="W83" s="100"/>
      <c r="X83" s="101"/>
      <c r="Y83" s="353"/>
    </row>
    <row r="84" spans="1:25" ht="15.75">
      <c r="A84" s="93" t="s">
        <v>30</v>
      </c>
      <c r="B84" s="513">
        <v>215</v>
      </c>
      <c r="C84" s="94">
        <f t="shared" si="3"/>
        <v>7753210.9199999999</v>
      </c>
      <c r="D84" s="94"/>
      <c r="E84" s="94"/>
      <c r="F84" s="648">
        <v>7753210.9199999999</v>
      </c>
      <c r="G84" s="649"/>
      <c r="H84" s="99">
        <v>0</v>
      </c>
      <c r="I84" s="98">
        <f t="shared" si="5"/>
        <v>0</v>
      </c>
      <c r="J84" s="98">
        <f t="shared" si="5"/>
        <v>0</v>
      </c>
      <c r="K84" s="96">
        <f t="shared" si="6"/>
        <v>7753210.9199999999</v>
      </c>
      <c r="L84" s="96"/>
      <c r="M84" s="96">
        <f t="shared" si="7"/>
        <v>0</v>
      </c>
      <c r="N84" s="107">
        <f>SUMIF([1]CRJ!$H$880:$H$894,B84:B489,[1]CRJ!$J$880:$J$894)</f>
        <v>0</v>
      </c>
      <c r="O84" s="100">
        <f>SUMIF([1]CRJ!$H$880:$H$894,B84:B489,[1]CRJ!$K$880:$K$894)</f>
        <v>0</v>
      </c>
      <c r="P84" s="100">
        <f>SUMIF([1]ChkDJ!$H$849:$H$867,B84:B489,[1]ChkDJ!$J$849:$J$867)</f>
        <v>0</v>
      </c>
      <c r="Q84" s="100">
        <f>SUMIF([1]ChkDJ!$H$849:$H$867,B84:B489,[1]ChkDJ!$K$849:$K$867)</f>
        <v>0</v>
      </c>
      <c r="R84" s="100">
        <f>SUMIF([1]CDJ!$H$190:$H$197,B84:B489,[1]CDJ!$J$190:$J$197)</f>
        <v>0</v>
      </c>
      <c r="S84" s="100">
        <f>SUMIF([1]CDJ!$H$190:$H$197,B84:B489,[1]CDJ!$K$190:$K$197)</f>
        <v>0</v>
      </c>
      <c r="T84" s="102">
        <f>SUMIF([1]GL!$H$448:$H$480,B84:B494,[1]GL!$J$448:$J$487)</f>
        <v>0</v>
      </c>
      <c r="U84" s="100">
        <f>SUMIF([1]GL!$H$448:$H$480,B84:B494,[1]GL!$K$448:$K$487)</f>
        <v>0</v>
      </c>
      <c r="V84" s="102"/>
      <c r="W84" s="100"/>
      <c r="X84" s="101"/>
      <c r="Y84" s="353"/>
    </row>
    <row r="85" spans="1:25" s="344" customFormat="1" ht="15.75" hidden="1" customHeight="1">
      <c r="A85" s="419" t="s">
        <v>566</v>
      </c>
      <c r="B85" s="423">
        <v>315</v>
      </c>
      <c r="C85" s="420"/>
      <c r="D85" s="420"/>
      <c r="E85" s="420">
        <f>+M85-K85</f>
        <v>0</v>
      </c>
      <c r="F85" s="650">
        <v>0</v>
      </c>
      <c r="G85" s="651"/>
      <c r="H85" s="652">
        <v>0</v>
      </c>
      <c r="I85" s="98">
        <f t="shared" si="5"/>
        <v>0</v>
      </c>
      <c r="J85" s="98">
        <f t="shared" si="5"/>
        <v>0</v>
      </c>
      <c r="K85" s="96">
        <f t="shared" si="6"/>
        <v>0</v>
      </c>
      <c r="L85" s="96"/>
      <c r="M85" s="96">
        <f t="shared" si="7"/>
        <v>0</v>
      </c>
      <c r="N85" s="107">
        <f>SUMIF([1]CRJ!$H$880:$H$894,B85:B490,[1]CRJ!$J$880:$J$894)</f>
        <v>0</v>
      </c>
      <c r="O85" s="100">
        <f>SUMIF([1]CRJ!$H$880:$H$894,B85:B490,[1]CRJ!$K$880:$K$894)</f>
        <v>0</v>
      </c>
      <c r="P85" s="100">
        <f>SUMIF([1]ChkDJ!$H$849:$H$867,B85:B490,[1]ChkDJ!$J$849:$J$867)</f>
        <v>0</v>
      </c>
      <c r="Q85" s="100">
        <f>SUMIF([1]ChkDJ!$H$849:$H$867,B85:B490,[1]ChkDJ!$K$849:$K$867)</f>
        <v>0</v>
      </c>
      <c r="R85" s="100">
        <f>SUMIF([1]CDJ!$H$190:$H$197,B85:B490,[1]CDJ!$J$190:$J$197)</f>
        <v>0</v>
      </c>
      <c r="S85" s="100">
        <f>SUMIF([1]CDJ!$H$190:$H$197,B85:B490,[1]CDJ!$K$190:$K$197)</f>
        <v>0</v>
      </c>
      <c r="T85" s="102">
        <f>SUMIF([1]GL!$H$448:$H$480,B85:B495,[1]GL!$J$448:$J$487)</f>
        <v>0</v>
      </c>
      <c r="U85" s="100">
        <f>SUMIF([1]GL!$H$448:$H$480,B85:B495,[1]GL!$K$448:$K$487)</f>
        <v>0</v>
      </c>
      <c r="V85" s="102"/>
      <c r="W85" s="100"/>
      <c r="X85" s="101"/>
      <c r="Y85" s="353"/>
    </row>
    <row r="86" spans="1:25" s="344" customFormat="1" ht="15.75" hidden="1" customHeight="1">
      <c r="A86" s="419" t="s">
        <v>567</v>
      </c>
      <c r="B86" s="423">
        <v>218</v>
      </c>
      <c r="C86" s="420">
        <f>+K86-M86</f>
        <v>0</v>
      </c>
      <c r="D86" s="420"/>
      <c r="E86" s="420"/>
      <c r="F86" s="650">
        <v>0</v>
      </c>
      <c r="G86" s="651"/>
      <c r="H86" s="652">
        <v>0</v>
      </c>
      <c r="I86" s="98">
        <f t="shared" si="5"/>
        <v>0</v>
      </c>
      <c r="J86" s="98">
        <f t="shared" si="5"/>
        <v>0</v>
      </c>
      <c r="K86" s="96">
        <f t="shared" si="6"/>
        <v>0</v>
      </c>
      <c r="L86" s="96"/>
      <c r="M86" s="96">
        <f t="shared" si="7"/>
        <v>0</v>
      </c>
      <c r="N86" s="107">
        <f>SUMIF([1]CRJ!$H$880:$H$894,B86:B491,[1]CRJ!$J$880:$J$894)</f>
        <v>0</v>
      </c>
      <c r="O86" s="100">
        <f>SUMIF([1]CRJ!$H$880:$H$894,B86:B491,[1]CRJ!$K$880:$K$894)</f>
        <v>0</v>
      </c>
      <c r="P86" s="100">
        <f>SUMIF([1]ChkDJ!$H$849:$H$867,B86:B491,[1]ChkDJ!$J$849:$J$867)</f>
        <v>0</v>
      </c>
      <c r="Q86" s="100">
        <f>SUMIF([1]ChkDJ!$H$849:$H$867,B86:B491,[1]ChkDJ!$K$849:$K$867)</f>
        <v>0</v>
      </c>
      <c r="R86" s="100">
        <f>SUMIF([1]CDJ!$H$190:$H$197,B86:B491,[1]CDJ!$J$190:$J$197)</f>
        <v>0</v>
      </c>
      <c r="S86" s="100">
        <f>SUMIF([1]CDJ!$H$190:$H$197,B86:B491,[1]CDJ!$K$190:$K$197)</f>
        <v>0</v>
      </c>
      <c r="T86" s="102">
        <f>SUMIF([1]GL!$H$448:$H$480,B86:B496,[1]GL!$J$448:$J$487)</f>
        <v>0</v>
      </c>
      <c r="U86" s="100">
        <f>SUMIF([1]GL!$H$448:$H$480,B86:B496,[1]GL!$K$448:$K$487)</f>
        <v>0</v>
      </c>
      <c r="V86" s="102"/>
      <c r="W86" s="100"/>
      <c r="X86" s="101"/>
      <c r="Y86" s="353"/>
    </row>
    <row r="87" spans="1:25" s="344" customFormat="1" ht="15.75" hidden="1" customHeight="1">
      <c r="A87" s="419" t="s">
        <v>568</v>
      </c>
      <c r="B87" s="423">
        <v>318</v>
      </c>
      <c r="C87" s="420"/>
      <c r="D87" s="420"/>
      <c r="E87" s="420">
        <f>+M87-K87</f>
        <v>0</v>
      </c>
      <c r="F87" s="650">
        <v>0</v>
      </c>
      <c r="G87" s="651"/>
      <c r="H87" s="652">
        <v>0</v>
      </c>
      <c r="I87" s="98">
        <f t="shared" si="5"/>
        <v>0</v>
      </c>
      <c r="J87" s="98">
        <f t="shared" si="5"/>
        <v>0</v>
      </c>
      <c r="K87" s="96">
        <f t="shared" si="6"/>
        <v>0</v>
      </c>
      <c r="L87" s="96"/>
      <c r="M87" s="96">
        <f t="shared" si="7"/>
        <v>0</v>
      </c>
      <c r="N87" s="107">
        <f>SUMIF([1]CRJ!$H$880:$H$894,B87:B492,[1]CRJ!$J$880:$J$894)</f>
        <v>0</v>
      </c>
      <c r="O87" s="100">
        <f>SUMIF([1]CRJ!$H$880:$H$894,B87:B492,[1]CRJ!$K$880:$K$894)</f>
        <v>0</v>
      </c>
      <c r="P87" s="100">
        <f>SUMIF([1]ChkDJ!$H$849:$H$867,B87:B492,[1]ChkDJ!$J$849:$J$867)</f>
        <v>0</v>
      </c>
      <c r="Q87" s="100">
        <f>SUMIF([1]ChkDJ!$H$849:$H$867,B87:B492,[1]ChkDJ!$K$849:$K$867)</f>
        <v>0</v>
      </c>
      <c r="R87" s="100">
        <f>SUMIF([1]CDJ!$H$190:$H$197,B87:B492,[1]CDJ!$J$190:$J$197)</f>
        <v>0</v>
      </c>
      <c r="S87" s="100">
        <f>SUMIF([1]CDJ!$H$190:$H$197,B87:B492,[1]CDJ!$K$190:$K$197)</f>
        <v>0</v>
      </c>
      <c r="T87" s="102">
        <f>SUMIF([1]GL!$H$448:$H$480,B87:B497,[1]GL!$J$448:$J$487)</f>
        <v>0</v>
      </c>
      <c r="U87" s="100">
        <f>SUMIF([1]GL!$H$448:$H$480,B87:B497,[1]GL!$K$448:$K$487)</f>
        <v>0</v>
      </c>
      <c r="V87" s="102"/>
      <c r="W87" s="100"/>
      <c r="X87" s="101"/>
      <c r="Y87" s="353"/>
    </row>
    <row r="88" spans="1:25" s="344" customFormat="1" ht="15.75" hidden="1" customHeight="1">
      <c r="A88" s="419" t="s">
        <v>569</v>
      </c>
      <c r="B88" s="423">
        <v>219</v>
      </c>
      <c r="C88" s="420">
        <f>+K88-M88</f>
        <v>0</v>
      </c>
      <c r="D88" s="420"/>
      <c r="E88" s="420"/>
      <c r="F88" s="650">
        <v>0</v>
      </c>
      <c r="G88" s="651"/>
      <c r="H88" s="652">
        <v>0</v>
      </c>
      <c r="I88" s="98">
        <f t="shared" si="5"/>
        <v>0</v>
      </c>
      <c r="J88" s="98">
        <f t="shared" si="5"/>
        <v>0</v>
      </c>
      <c r="K88" s="96">
        <f t="shared" si="6"/>
        <v>0</v>
      </c>
      <c r="L88" s="96"/>
      <c r="M88" s="96">
        <f t="shared" si="7"/>
        <v>0</v>
      </c>
      <c r="N88" s="107">
        <f>SUMIF([1]CRJ!$H$880:$H$894,B88:B493,[1]CRJ!$J$880:$J$894)</f>
        <v>0</v>
      </c>
      <c r="O88" s="100">
        <f>SUMIF([1]CRJ!$H$880:$H$894,B88:B493,[1]CRJ!$K$880:$K$894)</f>
        <v>0</v>
      </c>
      <c r="P88" s="100">
        <f>SUMIF([1]ChkDJ!$H$849:$H$867,B88:B493,[1]ChkDJ!$J$849:$J$867)</f>
        <v>0</v>
      </c>
      <c r="Q88" s="100">
        <f>SUMIF([1]ChkDJ!$H$849:$H$867,B88:B493,[1]ChkDJ!$K$849:$K$867)</f>
        <v>0</v>
      </c>
      <c r="R88" s="100">
        <f>SUMIF([1]CDJ!$H$190:$H$197,B88:B493,[1]CDJ!$J$190:$J$197)</f>
        <v>0</v>
      </c>
      <c r="S88" s="100">
        <f>SUMIF([1]CDJ!$H$190:$H$197,B88:B493,[1]CDJ!$K$190:$K$197)</f>
        <v>0</v>
      </c>
      <c r="T88" s="102">
        <f>SUMIF([1]GL!$H$448:$H$480,B88:B498,[1]GL!$J$448:$J$487)</f>
        <v>0</v>
      </c>
      <c r="U88" s="100">
        <f>SUMIF([1]GL!$H$448:$H$480,B88:B498,[1]GL!$K$448:$K$487)</f>
        <v>0</v>
      </c>
      <c r="V88" s="102"/>
      <c r="W88" s="100"/>
      <c r="X88" s="101"/>
      <c r="Y88" s="353"/>
    </row>
    <row r="89" spans="1:25" s="344" customFormat="1" ht="15.75" hidden="1" customHeight="1">
      <c r="A89" s="419" t="s">
        <v>570</v>
      </c>
      <c r="B89" s="423">
        <v>319</v>
      </c>
      <c r="C89" s="420"/>
      <c r="D89" s="420"/>
      <c r="E89" s="420">
        <f>+M89-K89</f>
        <v>0</v>
      </c>
      <c r="F89" s="650">
        <v>0</v>
      </c>
      <c r="G89" s="651"/>
      <c r="H89" s="652">
        <v>0</v>
      </c>
      <c r="I89" s="98">
        <f t="shared" si="5"/>
        <v>0</v>
      </c>
      <c r="J89" s="98">
        <f t="shared" si="5"/>
        <v>0</v>
      </c>
      <c r="K89" s="96">
        <f t="shared" si="6"/>
        <v>0</v>
      </c>
      <c r="L89" s="96"/>
      <c r="M89" s="96">
        <f t="shared" si="7"/>
        <v>0</v>
      </c>
      <c r="N89" s="107">
        <f>SUMIF([1]CRJ!$H$880:$H$894,B89:B494,[1]CRJ!$J$880:$J$894)</f>
        <v>0</v>
      </c>
      <c r="O89" s="100">
        <f>SUMIF([1]CRJ!$H$880:$H$894,B89:B494,[1]CRJ!$K$880:$K$894)</f>
        <v>0</v>
      </c>
      <c r="P89" s="100">
        <f>SUMIF([1]ChkDJ!$H$849:$H$867,B89:B494,[1]ChkDJ!$J$849:$J$867)</f>
        <v>0</v>
      </c>
      <c r="Q89" s="100">
        <f>SUMIF([1]ChkDJ!$H$849:$H$867,B89:B494,[1]ChkDJ!$K$849:$K$867)</f>
        <v>0</v>
      </c>
      <c r="R89" s="100">
        <f>SUMIF([1]CDJ!$H$190:$H$197,B89:B494,[1]CDJ!$J$190:$J$197)</f>
        <v>0</v>
      </c>
      <c r="S89" s="100">
        <f>SUMIF([1]CDJ!$H$190:$H$197,B89:B494,[1]CDJ!$K$190:$K$197)</f>
        <v>0</v>
      </c>
      <c r="T89" s="102">
        <f>SUMIF([1]GL!$H$448:$H$480,B89:B499,[1]GL!$J$448:$J$487)</f>
        <v>0</v>
      </c>
      <c r="U89" s="100">
        <f>SUMIF([1]GL!$H$448:$H$480,B89:B499,[1]GL!$K$448:$K$487)</f>
        <v>0</v>
      </c>
      <c r="V89" s="102"/>
      <c r="W89" s="100"/>
      <c r="X89" s="101"/>
      <c r="Y89" s="353"/>
    </row>
    <row r="90" spans="1:25" s="344" customFormat="1" ht="15.75" hidden="1" customHeight="1">
      <c r="A90" s="419" t="s">
        <v>571</v>
      </c>
      <c r="B90" s="423">
        <v>220</v>
      </c>
      <c r="C90" s="420">
        <f>+K90-M90</f>
        <v>0</v>
      </c>
      <c r="D90" s="420"/>
      <c r="E90" s="420"/>
      <c r="F90" s="650">
        <v>0</v>
      </c>
      <c r="G90" s="651"/>
      <c r="H90" s="652">
        <v>0</v>
      </c>
      <c r="I90" s="98">
        <f t="shared" si="5"/>
        <v>0</v>
      </c>
      <c r="J90" s="98">
        <f t="shared" si="5"/>
        <v>0</v>
      </c>
      <c r="K90" s="96">
        <f t="shared" si="6"/>
        <v>0</v>
      </c>
      <c r="L90" s="96"/>
      <c r="M90" s="96">
        <f t="shared" si="7"/>
        <v>0</v>
      </c>
      <c r="N90" s="107">
        <f>SUMIF([1]CRJ!$H$880:$H$894,B90:B495,[1]CRJ!$J$880:$J$894)</f>
        <v>0</v>
      </c>
      <c r="O90" s="100">
        <f>SUMIF([1]CRJ!$H$880:$H$894,B90:B495,[1]CRJ!$K$880:$K$894)</f>
        <v>0</v>
      </c>
      <c r="P90" s="100">
        <f>SUMIF([1]ChkDJ!$H$849:$H$867,B90:B495,[1]ChkDJ!$J$849:$J$867)</f>
        <v>0</v>
      </c>
      <c r="Q90" s="100">
        <f>SUMIF([1]ChkDJ!$H$849:$H$867,B90:B495,[1]ChkDJ!$K$849:$K$867)</f>
        <v>0</v>
      </c>
      <c r="R90" s="100">
        <f>SUMIF([1]CDJ!$H$190:$H$197,B90:B495,[1]CDJ!$J$190:$J$197)</f>
        <v>0</v>
      </c>
      <c r="S90" s="100">
        <f>SUMIF([1]CDJ!$H$190:$H$197,B90:B495,[1]CDJ!$K$190:$K$197)</f>
        <v>0</v>
      </c>
      <c r="T90" s="102">
        <f>SUMIF([1]GL!$H$448:$H$480,B90:B500,[1]GL!$J$448:$J$487)</f>
        <v>0</v>
      </c>
      <c r="U90" s="100">
        <f>SUMIF([1]GL!$H$448:$H$480,B90:B500,[1]GL!$K$448:$K$487)</f>
        <v>0</v>
      </c>
      <c r="V90" s="102"/>
      <c r="W90" s="100"/>
      <c r="X90" s="101"/>
      <c r="Y90" s="353"/>
    </row>
    <row r="91" spans="1:25" s="344" customFormat="1" ht="15.75" hidden="1" customHeight="1">
      <c r="A91" s="419" t="s">
        <v>572</v>
      </c>
      <c r="B91" s="423">
        <v>320</v>
      </c>
      <c r="C91" s="420"/>
      <c r="D91" s="420"/>
      <c r="E91" s="420">
        <f>+M91-K91</f>
        <v>0</v>
      </c>
      <c r="F91" s="650">
        <v>0</v>
      </c>
      <c r="G91" s="651"/>
      <c r="H91" s="652">
        <v>0</v>
      </c>
      <c r="I91" s="98">
        <f t="shared" si="5"/>
        <v>0</v>
      </c>
      <c r="J91" s="98">
        <f t="shared" si="5"/>
        <v>0</v>
      </c>
      <c r="K91" s="96">
        <f t="shared" si="6"/>
        <v>0</v>
      </c>
      <c r="L91" s="96"/>
      <c r="M91" s="96">
        <f t="shared" si="7"/>
        <v>0</v>
      </c>
      <c r="N91" s="107">
        <f>SUMIF([1]CRJ!$H$880:$H$894,B91:B496,[1]CRJ!$J$880:$J$894)</f>
        <v>0</v>
      </c>
      <c r="O91" s="100">
        <f>SUMIF([1]CRJ!$H$880:$H$894,B91:B496,[1]CRJ!$K$880:$K$894)</f>
        <v>0</v>
      </c>
      <c r="P91" s="100">
        <f>SUMIF([1]ChkDJ!$H$849:$H$867,B91:B496,[1]ChkDJ!$J$849:$J$867)</f>
        <v>0</v>
      </c>
      <c r="Q91" s="100">
        <f>SUMIF([1]ChkDJ!$H$849:$H$867,B91:B496,[1]ChkDJ!$K$849:$K$867)</f>
        <v>0</v>
      </c>
      <c r="R91" s="100">
        <f>SUMIF([1]CDJ!$H$190:$H$197,B91:B496,[1]CDJ!$J$190:$J$197)</f>
        <v>0</v>
      </c>
      <c r="S91" s="100">
        <f>SUMIF([1]CDJ!$H$190:$H$197,B91:B496,[1]CDJ!$K$190:$K$197)</f>
        <v>0</v>
      </c>
      <c r="T91" s="102">
        <f>SUMIF([1]GL!$H$448:$H$480,B91:B501,[1]GL!$J$448:$J$487)</f>
        <v>0</v>
      </c>
      <c r="U91" s="100">
        <f>SUMIF([1]GL!$H$448:$H$480,B91:B501,[1]GL!$K$448:$K$487)</f>
        <v>0</v>
      </c>
      <c r="V91" s="102"/>
      <c r="W91" s="100"/>
      <c r="X91" s="101"/>
      <c r="Y91" s="353"/>
    </row>
    <row r="92" spans="1:25" ht="15.75">
      <c r="A92" s="93" t="s">
        <v>31</v>
      </c>
      <c r="B92" s="513">
        <v>221</v>
      </c>
      <c r="C92" s="94">
        <f t="shared" si="3"/>
        <v>1022056.8500000001</v>
      </c>
      <c r="D92" s="94"/>
      <c r="E92" s="94"/>
      <c r="F92" s="648">
        <v>1022056.8500000001</v>
      </c>
      <c r="G92" s="649"/>
      <c r="H92" s="99">
        <v>0</v>
      </c>
      <c r="I92" s="98">
        <f t="shared" si="5"/>
        <v>0</v>
      </c>
      <c r="J92" s="98">
        <f t="shared" si="5"/>
        <v>0</v>
      </c>
      <c r="K92" s="96">
        <f t="shared" si="6"/>
        <v>1022056.8500000001</v>
      </c>
      <c r="L92" s="96"/>
      <c r="M92" s="96">
        <f t="shared" si="7"/>
        <v>0</v>
      </c>
      <c r="N92" s="107">
        <f>SUMIF([1]CRJ!$H$880:$H$894,B92:B497,[1]CRJ!$J$880:$J$894)</f>
        <v>0</v>
      </c>
      <c r="O92" s="100">
        <f>SUMIF([1]CRJ!$H$880:$H$894,B92:B497,[1]CRJ!$K$880:$K$894)</f>
        <v>0</v>
      </c>
      <c r="P92" s="100">
        <f>SUMIF([1]ChkDJ!$H$849:$H$867,B92:B497,[1]ChkDJ!$J$849:$J$867)</f>
        <v>0</v>
      </c>
      <c r="Q92" s="100">
        <f>SUMIF([1]ChkDJ!$H$849:$H$867,B92:B497,[1]ChkDJ!$K$849:$K$867)</f>
        <v>0</v>
      </c>
      <c r="R92" s="100">
        <f>SUMIF([1]CDJ!$H$190:$H$197,B92:B497,[1]CDJ!$J$190:$J$197)</f>
        <v>0</v>
      </c>
      <c r="S92" s="100">
        <f>SUMIF([1]CDJ!$H$190:$H$197,B92:B497,[1]CDJ!$K$190:$K$197)</f>
        <v>0</v>
      </c>
      <c r="T92" s="102">
        <f>SUMIF([1]GL!$H$448:$H$480,B92:B502,[1]GL!$J$448:$J$487)</f>
        <v>0</v>
      </c>
      <c r="U92" s="100">
        <f>SUMIF([1]GL!$H$448:$H$480,B92:B502,[1]GL!$K$448:$K$487)</f>
        <v>0</v>
      </c>
      <c r="V92" s="102"/>
      <c r="W92" s="100"/>
      <c r="X92" s="101"/>
      <c r="Y92" s="353"/>
    </row>
    <row r="93" spans="1:25" ht="15.75">
      <c r="A93" s="93" t="s">
        <v>573</v>
      </c>
      <c r="B93" s="513">
        <v>321</v>
      </c>
      <c r="C93" s="94"/>
      <c r="D93" s="94"/>
      <c r="E93" s="94">
        <f>+M93-K93</f>
        <v>69930</v>
      </c>
      <c r="F93" s="648">
        <v>0</v>
      </c>
      <c r="G93" s="649"/>
      <c r="H93" s="99">
        <v>69930</v>
      </c>
      <c r="I93" s="98">
        <f t="shared" si="5"/>
        <v>0</v>
      </c>
      <c r="J93" s="98">
        <f t="shared" si="5"/>
        <v>0</v>
      </c>
      <c r="K93" s="96">
        <f t="shared" si="6"/>
        <v>0</v>
      </c>
      <c r="L93" s="96"/>
      <c r="M93" s="96">
        <f t="shared" si="7"/>
        <v>69930</v>
      </c>
      <c r="N93" s="107">
        <f>SUMIF([1]CRJ!$H$880:$H$894,B93:B498,[1]CRJ!$J$880:$J$894)</f>
        <v>0</v>
      </c>
      <c r="O93" s="100">
        <f>SUMIF([1]CRJ!$H$880:$H$894,B93:B498,[1]CRJ!$K$880:$K$894)</f>
        <v>0</v>
      </c>
      <c r="P93" s="100">
        <f>SUMIF([1]ChkDJ!$H$849:$H$867,B93:B498,[1]ChkDJ!$J$849:$J$867)</f>
        <v>0</v>
      </c>
      <c r="Q93" s="100">
        <f>SUMIF([1]ChkDJ!$H$849:$H$867,B93:B498,[1]ChkDJ!$K$849:$K$867)</f>
        <v>0</v>
      </c>
      <c r="R93" s="100">
        <f>SUMIF([1]CDJ!$H$190:$H$197,B93:B498,[1]CDJ!$J$190:$J$197)</f>
        <v>0</v>
      </c>
      <c r="S93" s="100">
        <f>SUMIF([1]CDJ!$H$190:$H$197,B93:B498,[1]CDJ!$K$190:$K$197)</f>
        <v>0</v>
      </c>
      <c r="T93" s="102">
        <f>SUMIF([1]GL!$H$448:$H$480,B93:B503,[1]GL!$J$448:$J$487)</f>
        <v>0</v>
      </c>
      <c r="U93" s="100">
        <f>SUMIF([1]GL!$H$448:$H$480,B93:B503,[1]GL!$K$448:$K$487)</f>
        <v>0</v>
      </c>
      <c r="V93" s="102"/>
      <c r="W93" s="100"/>
      <c r="X93" s="101"/>
      <c r="Y93" s="353"/>
    </row>
    <row r="94" spans="1:25" s="105" customFormat="1" ht="15.75">
      <c r="A94" s="93" t="s">
        <v>32</v>
      </c>
      <c r="B94" s="513">
        <v>222</v>
      </c>
      <c r="C94" s="94">
        <f t="shared" si="3"/>
        <v>607760</v>
      </c>
      <c r="D94" s="94"/>
      <c r="E94" s="94"/>
      <c r="F94" s="648">
        <v>607760</v>
      </c>
      <c r="G94" s="649"/>
      <c r="H94" s="99">
        <v>0</v>
      </c>
      <c r="I94" s="98">
        <f t="shared" si="5"/>
        <v>0</v>
      </c>
      <c r="J94" s="98">
        <f t="shared" si="5"/>
        <v>0</v>
      </c>
      <c r="K94" s="96">
        <f t="shared" si="6"/>
        <v>607760</v>
      </c>
      <c r="L94" s="96"/>
      <c r="M94" s="96">
        <f t="shared" si="7"/>
        <v>0</v>
      </c>
      <c r="N94" s="107">
        <f>SUMIF([1]CRJ!$H$880:$H$894,B94:B499,[1]CRJ!$J$880:$J$894)</f>
        <v>0</v>
      </c>
      <c r="O94" s="100">
        <f>SUMIF([1]CRJ!$H$880:$H$894,B94:B499,[1]CRJ!$K$880:$K$894)</f>
        <v>0</v>
      </c>
      <c r="P94" s="100">
        <f>SUMIF([1]ChkDJ!$H$849:$H$867,B94:B499,[1]ChkDJ!$J$849:$J$867)</f>
        <v>0</v>
      </c>
      <c r="Q94" s="100">
        <f>SUMIF([1]ChkDJ!$H$849:$H$867,B94:B499,[1]ChkDJ!$K$849:$K$867)</f>
        <v>0</v>
      </c>
      <c r="R94" s="100">
        <f>SUMIF([1]CDJ!$H$190:$H$197,B94:B499,[1]CDJ!$J$190:$J$197)</f>
        <v>0</v>
      </c>
      <c r="S94" s="100">
        <f>SUMIF([1]CDJ!$H$190:$H$197,B94:B499,[1]CDJ!$K$190:$K$197)</f>
        <v>0</v>
      </c>
      <c r="T94" s="102">
        <f>SUMIF([1]GL!$H$448:$H$480,B94:B504,[1]GL!$J$448:$J$487)</f>
        <v>0</v>
      </c>
      <c r="U94" s="100">
        <f>SUMIF([1]GL!$H$448:$H$480,B94:B504,[1]GL!$K$448:$K$487)</f>
        <v>0</v>
      </c>
      <c r="V94" s="102"/>
      <c r="W94" s="100"/>
      <c r="X94" s="101"/>
      <c r="Y94" s="353"/>
    </row>
    <row r="95" spans="1:25" s="350" customFormat="1" ht="15.75" hidden="1" customHeight="1">
      <c r="A95" s="419" t="s">
        <v>574</v>
      </c>
      <c r="B95" s="423">
        <v>322</v>
      </c>
      <c r="C95" s="420"/>
      <c r="D95" s="420"/>
      <c r="E95" s="420">
        <f>+M95-K95</f>
        <v>0</v>
      </c>
      <c r="F95" s="650">
        <v>0</v>
      </c>
      <c r="G95" s="651"/>
      <c r="H95" s="652">
        <v>0</v>
      </c>
      <c r="I95" s="98">
        <f t="shared" si="5"/>
        <v>0</v>
      </c>
      <c r="J95" s="98">
        <f t="shared" si="5"/>
        <v>0</v>
      </c>
      <c r="K95" s="96">
        <f t="shared" si="6"/>
        <v>0</v>
      </c>
      <c r="L95" s="96"/>
      <c r="M95" s="96">
        <f t="shared" si="7"/>
        <v>0</v>
      </c>
      <c r="N95" s="107">
        <f>SUMIF([1]CRJ!$H$880:$H$894,B95:B500,[1]CRJ!$J$880:$J$894)</f>
        <v>0</v>
      </c>
      <c r="O95" s="100">
        <f>SUMIF([1]CRJ!$H$880:$H$894,B95:B500,[1]CRJ!$K$880:$K$894)</f>
        <v>0</v>
      </c>
      <c r="P95" s="100">
        <f>SUMIF([1]ChkDJ!$H$849:$H$867,B95:B500,[1]ChkDJ!$J$849:$J$867)</f>
        <v>0</v>
      </c>
      <c r="Q95" s="100">
        <f>SUMIF([1]ChkDJ!$H$849:$H$867,B95:B500,[1]ChkDJ!$K$849:$K$867)</f>
        <v>0</v>
      </c>
      <c r="R95" s="100">
        <f>SUMIF([1]CDJ!$H$190:$H$197,B95:B500,[1]CDJ!$J$190:$J$197)</f>
        <v>0</v>
      </c>
      <c r="S95" s="100">
        <f>SUMIF([1]CDJ!$H$190:$H$197,B95:B500,[1]CDJ!$K$190:$K$197)</f>
        <v>0</v>
      </c>
      <c r="T95" s="102">
        <f>SUMIF([1]GL!$H$448:$H$480,B95:B505,[1]GL!$J$448:$J$487)</f>
        <v>0</v>
      </c>
      <c r="U95" s="100">
        <f>SUMIF([1]GL!$H$448:$H$480,B95:B505,[1]GL!$K$448:$K$487)</f>
        <v>0</v>
      </c>
      <c r="V95" s="102"/>
      <c r="W95" s="100"/>
      <c r="X95" s="101"/>
      <c r="Y95" s="353"/>
    </row>
    <row r="96" spans="1:25" s="105" customFormat="1" ht="15.75">
      <c r="A96" s="93" t="s">
        <v>33</v>
      </c>
      <c r="B96" s="513">
        <v>223</v>
      </c>
      <c r="C96" s="94">
        <f t="shared" si="3"/>
        <v>557930</v>
      </c>
      <c r="D96" s="94"/>
      <c r="E96" s="94"/>
      <c r="F96" s="648">
        <v>557930</v>
      </c>
      <c r="G96" s="649"/>
      <c r="H96" s="99">
        <v>0</v>
      </c>
      <c r="I96" s="98">
        <f t="shared" si="5"/>
        <v>0</v>
      </c>
      <c r="J96" s="98">
        <f t="shared" si="5"/>
        <v>0</v>
      </c>
      <c r="K96" s="96">
        <f t="shared" si="6"/>
        <v>557930</v>
      </c>
      <c r="L96" s="96"/>
      <c r="M96" s="96">
        <f t="shared" si="7"/>
        <v>0</v>
      </c>
      <c r="N96" s="107">
        <f>SUMIF([1]CRJ!$H$880:$H$894,B96:B501,[1]CRJ!$J$880:$J$894)</f>
        <v>0</v>
      </c>
      <c r="O96" s="100">
        <f>SUMIF([1]CRJ!$H$880:$H$894,B96:B501,[1]CRJ!$K$880:$K$894)</f>
        <v>0</v>
      </c>
      <c r="P96" s="100">
        <f>SUMIF([1]ChkDJ!$H$849:$H$867,B96:B501,[1]ChkDJ!$J$849:$J$867)</f>
        <v>0</v>
      </c>
      <c r="Q96" s="100">
        <f>SUMIF([1]ChkDJ!$H$849:$H$867,B96:B501,[1]ChkDJ!$K$849:$K$867)</f>
        <v>0</v>
      </c>
      <c r="R96" s="100">
        <f>SUMIF([1]CDJ!$H$190:$H$197,B96:B501,[1]CDJ!$J$190:$J$197)</f>
        <v>0</v>
      </c>
      <c r="S96" s="100">
        <f>SUMIF([1]CDJ!$H$190:$H$197,B96:B501,[1]CDJ!$K$190:$K$197)</f>
        <v>0</v>
      </c>
      <c r="T96" s="102">
        <f>SUMIF([1]GL!$H$448:$H$480,B96:B506,[1]GL!$J$448:$J$487)</f>
        <v>0</v>
      </c>
      <c r="U96" s="100">
        <f>SUMIF([1]GL!$H$448:$H$480,B96:B506,[1]GL!$K$448:$K$487)</f>
        <v>0</v>
      </c>
      <c r="V96" s="102"/>
      <c r="W96" s="100"/>
      <c r="X96" s="101"/>
      <c r="Y96" s="353"/>
    </row>
    <row r="97" spans="1:25" s="105" customFormat="1" ht="15.75">
      <c r="A97" s="93" t="s">
        <v>575</v>
      </c>
      <c r="B97" s="513">
        <v>323</v>
      </c>
      <c r="C97" s="94"/>
      <c r="D97" s="94"/>
      <c r="E97" s="94">
        <f>+M97-K97</f>
        <v>156708</v>
      </c>
      <c r="F97" s="653">
        <v>384.75</v>
      </c>
      <c r="G97" s="98"/>
      <c r="H97" s="99">
        <v>154815.75</v>
      </c>
      <c r="I97" s="98">
        <f t="shared" si="5"/>
        <v>0</v>
      </c>
      <c r="J97" s="98">
        <f t="shared" si="5"/>
        <v>2277</v>
      </c>
      <c r="K97" s="96">
        <f t="shared" si="6"/>
        <v>384.75</v>
      </c>
      <c r="L97" s="96"/>
      <c r="M97" s="96">
        <f t="shared" si="7"/>
        <v>157092.75</v>
      </c>
      <c r="N97" s="107">
        <f>SUMIF([1]CRJ!$H$880:$H$894,B97:B502,[1]CRJ!$J$880:$J$894)</f>
        <v>0</v>
      </c>
      <c r="O97" s="100">
        <f>SUMIF([1]CRJ!$H$880:$H$894,B97:B502,[1]CRJ!$K$880:$K$894)</f>
        <v>0</v>
      </c>
      <c r="P97" s="100">
        <f>SUMIF([1]ChkDJ!$H$849:$H$867,B97:B502,[1]ChkDJ!$J$849:$J$867)</f>
        <v>0</v>
      </c>
      <c r="Q97" s="100">
        <f>SUMIF([1]ChkDJ!$H$849:$H$867,B97:B502,[1]ChkDJ!$K$849:$K$867)</f>
        <v>0</v>
      </c>
      <c r="R97" s="100">
        <f>SUMIF([1]CDJ!$H$190:$H$197,B97:B502,[1]CDJ!$J$190:$J$197)</f>
        <v>0</v>
      </c>
      <c r="S97" s="100">
        <f>SUMIF([1]CDJ!$H$190:$H$197,B97:B502,[1]CDJ!$K$190:$K$197)</f>
        <v>0</v>
      </c>
      <c r="T97" s="102">
        <f>SUMIF([1]GL!$H$448:$H$480,B97:B507,[1]GL!$J$448:$J$487)</f>
        <v>0</v>
      </c>
      <c r="U97" s="100">
        <f>SUMIF([1]GL!$H$448:$H$480,B97:B507,[1]GL!$K$448:$K$487)</f>
        <v>2277</v>
      </c>
      <c r="V97" s="102"/>
      <c r="W97" s="100"/>
      <c r="X97" s="101"/>
      <c r="Y97" s="353"/>
    </row>
    <row r="98" spans="1:25" s="105" customFormat="1" ht="15.75">
      <c r="A98" s="93" t="s">
        <v>89</v>
      </c>
      <c r="B98" s="513">
        <v>224</v>
      </c>
      <c r="C98" s="94">
        <f t="shared" si="3"/>
        <v>1173.28</v>
      </c>
      <c r="D98" s="94"/>
      <c r="E98" s="94"/>
      <c r="F98" s="653">
        <v>1173.28</v>
      </c>
      <c r="G98" s="98"/>
      <c r="H98" s="99">
        <v>0</v>
      </c>
      <c r="I98" s="98">
        <f t="shared" si="5"/>
        <v>0</v>
      </c>
      <c r="J98" s="98">
        <f t="shared" si="5"/>
        <v>0</v>
      </c>
      <c r="K98" s="96">
        <f t="shared" si="6"/>
        <v>1173.28</v>
      </c>
      <c r="L98" s="96"/>
      <c r="M98" s="96">
        <f t="shared" si="7"/>
        <v>0</v>
      </c>
      <c r="N98" s="107">
        <f>SUMIF([1]CRJ!$H$880:$H$894,B98:B503,[1]CRJ!$J$880:$J$894)</f>
        <v>0</v>
      </c>
      <c r="O98" s="100">
        <f>SUMIF([1]CRJ!$H$880:$H$894,B98:B503,[1]CRJ!$K$880:$K$894)</f>
        <v>0</v>
      </c>
      <c r="P98" s="100">
        <f>SUMIF([1]ChkDJ!$H$849:$H$867,B98:B503,[1]ChkDJ!$J$849:$J$867)</f>
        <v>0</v>
      </c>
      <c r="Q98" s="100">
        <f>SUMIF([1]ChkDJ!$H$849:$H$867,B98:B503,[1]ChkDJ!$K$849:$K$867)</f>
        <v>0</v>
      </c>
      <c r="R98" s="100">
        <f>SUMIF([1]CDJ!$H$190:$H$197,B98:B503,[1]CDJ!$J$190:$J$197)</f>
        <v>0</v>
      </c>
      <c r="S98" s="100">
        <f>SUMIF([1]CDJ!$H$190:$H$197,B98:B503,[1]CDJ!$K$190:$K$197)</f>
        <v>0</v>
      </c>
      <c r="T98" s="102">
        <f>SUMIF([1]GL!$H$448:$H$480,B98:B508,[1]GL!$J$448:$J$487)</f>
        <v>0</v>
      </c>
      <c r="U98" s="100">
        <f>SUMIF([1]GL!$H$448:$H$480,B98:B508,[1]GL!$K$448:$K$487)</f>
        <v>0</v>
      </c>
      <c r="V98" s="102"/>
      <c r="W98" s="100"/>
      <c r="X98" s="101"/>
      <c r="Y98" s="353"/>
    </row>
    <row r="99" spans="1:25" s="350" customFormat="1" ht="15.75" hidden="1" customHeight="1">
      <c r="A99" s="419" t="s">
        <v>576</v>
      </c>
      <c r="B99" s="423">
        <v>324</v>
      </c>
      <c r="C99" s="420"/>
      <c r="D99" s="420"/>
      <c r="E99" s="420">
        <f>+M99-K99</f>
        <v>0</v>
      </c>
      <c r="F99" s="650">
        <v>0</v>
      </c>
      <c r="G99" s="651"/>
      <c r="H99" s="652">
        <v>0</v>
      </c>
      <c r="I99" s="98">
        <f t="shared" si="5"/>
        <v>0</v>
      </c>
      <c r="J99" s="98">
        <f t="shared" si="5"/>
        <v>0</v>
      </c>
      <c r="K99" s="96">
        <f t="shared" si="6"/>
        <v>0</v>
      </c>
      <c r="L99" s="96"/>
      <c r="M99" s="96">
        <f t="shared" si="7"/>
        <v>0</v>
      </c>
      <c r="N99" s="107">
        <f>SUMIF([1]CRJ!$H$880:$H$894,B99:B504,[1]CRJ!$J$880:$J$894)</f>
        <v>0</v>
      </c>
      <c r="O99" s="100">
        <f>SUMIF([1]CRJ!$H$880:$H$894,B99:B504,[1]CRJ!$K$880:$K$894)</f>
        <v>0</v>
      </c>
      <c r="P99" s="100">
        <f>SUMIF([1]ChkDJ!$H$849:$H$867,B99:B504,[1]ChkDJ!$J$849:$J$867)</f>
        <v>0</v>
      </c>
      <c r="Q99" s="100">
        <f>SUMIF([1]ChkDJ!$H$849:$H$867,B99:B504,[1]ChkDJ!$K$849:$K$867)</f>
        <v>0</v>
      </c>
      <c r="R99" s="100">
        <f>SUMIF([1]CDJ!$H$190:$H$197,B99:B504,[1]CDJ!$J$190:$J$197)</f>
        <v>0</v>
      </c>
      <c r="S99" s="100">
        <f>SUMIF([1]CDJ!$H$190:$H$197,B99:B504,[1]CDJ!$K$190:$K$197)</f>
        <v>0</v>
      </c>
      <c r="T99" s="102">
        <f>SUMIF([1]GL!$H$448:$H$480,B99:B509,[1]GL!$J$448:$J$487)</f>
        <v>0</v>
      </c>
      <c r="U99" s="100">
        <f>SUMIF([1]GL!$H$448:$H$480,B99:B509,[1]GL!$K$448:$K$487)</f>
        <v>0</v>
      </c>
      <c r="V99" s="102"/>
      <c r="W99" s="100"/>
      <c r="X99" s="101"/>
      <c r="Y99" s="353"/>
    </row>
    <row r="100" spans="1:25" s="350" customFormat="1" ht="15.75" hidden="1" customHeight="1">
      <c r="A100" s="419" t="s">
        <v>577</v>
      </c>
      <c r="B100" s="423">
        <v>226</v>
      </c>
      <c r="C100" s="420">
        <f>+K100-M100</f>
        <v>0</v>
      </c>
      <c r="D100" s="420"/>
      <c r="E100" s="420"/>
      <c r="F100" s="650">
        <v>0</v>
      </c>
      <c r="G100" s="651"/>
      <c r="H100" s="652">
        <v>0</v>
      </c>
      <c r="I100" s="98">
        <f t="shared" si="5"/>
        <v>0</v>
      </c>
      <c r="J100" s="98">
        <f t="shared" si="5"/>
        <v>0</v>
      </c>
      <c r="K100" s="96">
        <f t="shared" si="6"/>
        <v>0</v>
      </c>
      <c r="L100" s="96"/>
      <c r="M100" s="96">
        <f t="shared" si="7"/>
        <v>0</v>
      </c>
      <c r="N100" s="107">
        <f>SUMIF([1]CRJ!$H$880:$H$894,B100:B505,[1]CRJ!$J$880:$J$894)</f>
        <v>0</v>
      </c>
      <c r="O100" s="100">
        <f>SUMIF([1]CRJ!$H$880:$H$894,B100:B505,[1]CRJ!$K$880:$K$894)</f>
        <v>0</v>
      </c>
      <c r="P100" s="100">
        <f>SUMIF([1]ChkDJ!$H$849:$H$867,B100:B505,[1]ChkDJ!$J$849:$J$867)</f>
        <v>0</v>
      </c>
      <c r="Q100" s="100">
        <f>SUMIF([1]ChkDJ!$H$849:$H$867,B100:B505,[1]ChkDJ!$K$849:$K$867)</f>
        <v>0</v>
      </c>
      <c r="R100" s="100">
        <f>SUMIF([1]CDJ!$H$190:$H$197,B100:B505,[1]CDJ!$J$190:$J$197)</f>
        <v>0</v>
      </c>
      <c r="S100" s="100">
        <f>SUMIF([1]CDJ!$H$190:$H$197,B100:B505,[1]CDJ!$K$190:$K$197)</f>
        <v>0</v>
      </c>
      <c r="T100" s="102">
        <f>SUMIF([1]GL!$H$448:$H$480,B100:B510,[1]GL!$J$448:$J$487)</f>
        <v>0</v>
      </c>
      <c r="U100" s="100">
        <f>SUMIF([1]GL!$H$448:$H$480,B100:B510,[1]GL!$K$448:$K$487)</f>
        <v>0</v>
      </c>
      <c r="V100" s="102"/>
      <c r="W100" s="100"/>
      <c r="X100" s="101"/>
      <c r="Y100" s="353"/>
    </row>
    <row r="101" spans="1:25" s="350" customFormat="1" ht="15.75" hidden="1" customHeight="1">
      <c r="A101" s="419" t="s">
        <v>578</v>
      </c>
      <c r="B101" s="423">
        <v>326</v>
      </c>
      <c r="C101" s="420"/>
      <c r="D101" s="420"/>
      <c r="E101" s="420">
        <f>+M101-K101</f>
        <v>0</v>
      </c>
      <c r="F101" s="650">
        <v>0</v>
      </c>
      <c r="G101" s="651"/>
      <c r="H101" s="652">
        <v>0</v>
      </c>
      <c r="I101" s="98">
        <f t="shared" si="5"/>
        <v>0</v>
      </c>
      <c r="J101" s="98">
        <f t="shared" si="5"/>
        <v>0</v>
      </c>
      <c r="K101" s="96">
        <f t="shared" si="6"/>
        <v>0</v>
      </c>
      <c r="L101" s="96"/>
      <c r="M101" s="96">
        <f t="shared" si="7"/>
        <v>0</v>
      </c>
      <c r="N101" s="107">
        <f>SUMIF([1]CRJ!$H$880:$H$894,B101:B506,[1]CRJ!$J$880:$J$894)</f>
        <v>0</v>
      </c>
      <c r="O101" s="100">
        <f>SUMIF([1]CRJ!$H$880:$H$894,B101:B506,[1]CRJ!$K$880:$K$894)</f>
        <v>0</v>
      </c>
      <c r="P101" s="100">
        <f>SUMIF([1]ChkDJ!$H$849:$H$867,B101:B506,[1]ChkDJ!$J$849:$J$867)</f>
        <v>0</v>
      </c>
      <c r="Q101" s="100">
        <f>SUMIF([1]ChkDJ!$H$849:$H$867,B101:B506,[1]ChkDJ!$K$849:$K$867)</f>
        <v>0</v>
      </c>
      <c r="R101" s="100">
        <f>SUMIF([1]CDJ!$H$190:$H$197,B101:B506,[1]CDJ!$J$190:$J$197)</f>
        <v>0</v>
      </c>
      <c r="S101" s="100">
        <f>SUMIF([1]CDJ!$H$190:$H$197,B101:B506,[1]CDJ!$K$190:$K$197)</f>
        <v>0</v>
      </c>
      <c r="T101" s="102">
        <f>SUMIF([1]GL!$H$448:$H$480,B101:B511,[1]GL!$J$448:$J$487)</f>
        <v>0</v>
      </c>
      <c r="U101" s="100">
        <f>SUMIF([1]GL!$H$448:$H$480,B101:B511,[1]GL!$K$448:$K$487)</f>
        <v>0</v>
      </c>
      <c r="V101" s="102"/>
      <c r="W101" s="100"/>
      <c r="X101" s="101"/>
      <c r="Y101" s="353"/>
    </row>
    <row r="102" spans="1:25" s="105" customFormat="1" ht="15.75">
      <c r="A102" s="93" t="s">
        <v>90</v>
      </c>
      <c r="B102" s="513">
        <v>227</v>
      </c>
      <c r="C102" s="94">
        <f t="shared" si="3"/>
        <v>140200</v>
      </c>
      <c r="D102" s="94"/>
      <c r="E102" s="94"/>
      <c r="F102" s="653">
        <v>140200</v>
      </c>
      <c r="G102" s="98"/>
      <c r="H102" s="99">
        <v>0</v>
      </c>
      <c r="I102" s="98">
        <f t="shared" si="5"/>
        <v>0</v>
      </c>
      <c r="J102" s="98">
        <f t="shared" si="5"/>
        <v>0</v>
      </c>
      <c r="K102" s="96">
        <f t="shared" si="6"/>
        <v>140200</v>
      </c>
      <c r="L102" s="96"/>
      <c r="M102" s="96">
        <f t="shared" si="7"/>
        <v>0</v>
      </c>
      <c r="N102" s="107">
        <f>SUMIF([1]CRJ!$H$880:$H$894,B102:B507,[1]CRJ!$J$880:$J$894)</f>
        <v>0</v>
      </c>
      <c r="O102" s="100">
        <f>SUMIF([1]CRJ!$H$880:$H$894,B102:B507,[1]CRJ!$K$880:$K$894)</f>
        <v>0</v>
      </c>
      <c r="P102" s="100">
        <f>SUMIF([1]ChkDJ!$H$849:$H$867,B102:B507,[1]ChkDJ!$J$849:$J$867)</f>
        <v>0</v>
      </c>
      <c r="Q102" s="100">
        <f>SUMIF([1]ChkDJ!$H$849:$H$867,B102:B507,[1]ChkDJ!$K$849:$K$867)</f>
        <v>0</v>
      </c>
      <c r="R102" s="100">
        <f>SUMIF([1]CDJ!$H$190:$H$197,B102:B507,[1]CDJ!$J$190:$J$197)</f>
        <v>0</v>
      </c>
      <c r="S102" s="100">
        <f>SUMIF([1]CDJ!$H$190:$H$197,B102:B507,[1]CDJ!$K$190:$K$197)</f>
        <v>0</v>
      </c>
      <c r="T102" s="102">
        <f>SUMIF([1]GL!$H$448:$H$480,B102:B512,[1]GL!$J$448:$J$487)</f>
        <v>0</v>
      </c>
      <c r="U102" s="100">
        <f>SUMIF([1]GL!$H$448:$H$480,B102:B512,[1]GL!$K$448:$K$487)</f>
        <v>0</v>
      </c>
      <c r="V102" s="102"/>
      <c r="W102" s="100"/>
      <c r="X102" s="101"/>
      <c r="Y102" s="353"/>
    </row>
    <row r="103" spans="1:25" s="350" customFormat="1" ht="15.75" hidden="1" customHeight="1">
      <c r="A103" s="419" t="s">
        <v>579</v>
      </c>
      <c r="B103" s="423">
        <v>327</v>
      </c>
      <c r="C103" s="420"/>
      <c r="D103" s="420"/>
      <c r="E103" s="420">
        <f>+M103-K103</f>
        <v>0</v>
      </c>
      <c r="F103" s="650">
        <v>0</v>
      </c>
      <c r="G103" s="651"/>
      <c r="H103" s="652">
        <v>0</v>
      </c>
      <c r="I103" s="98">
        <f t="shared" si="5"/>
        <v>0</v>
      </c>
      <c r="J103" s="98">
        <f t="shared" si="5"/>
        <v>0</v>
      </c>
      <c r="K103" s="96">
        <f t="shared" si="6"/>
        <v>0</v>
      </c>
      <c r="L103" s="96"/>
      <c r="M103" s="96">
        <f t="shared" si="7"/>
        <v>0</v>
      </c>
      <c r="N103" s="107">
        <f>SUMIF([1]CRJ!$H$880:$H$894,B103:B508,[1]CRJ!$J$880:$J$894)</f>
        <v>0</v>
      </c>
      <c r="O103" s="100">
        <f>SUMIF([1]CRJ!$H$880:$H$894,B103:B508,[1]CRJ!$K$880:$K$894)</f>
        <v>0</v>
      </c>
      <c r="P103" s="100">
        <f>SUMIF([1]ChkDJ!$H$849:$H$867,B103:B508,[1]ChkDJ!$J$849:$J$867)</f>
        <v>0</v>
      </c>
      <c r="Q103" s="100">
        <f>SUMIF([1]ChkDJ!$H$849:$H$867,B103:B508,[1]ChkDJ!$K$849:$K$867)</f>
        <v>0</v>
      </c>
      <c r="R103" s="100">
        <f>SUMIF([1]CDJ!$H$190:$H$197,B103:B508,[1]CDJ!$J$190:$J$197)</f>
        <v>0</v>
      </c>
      <c r="S103" s="100">
        <f>SUMIF([1]CDJ!$H$190:$H$197,B103:B508,[1]CDJ!$K$190:$K$197)</f>
        <v>0</v>
      </c>
      <c r="T103" s="102">
        <f>SUMIF([1]GL!$H$448:$H$480,B103:B513,[1]GL!$J$448:$J$487)</f>
        <v>0</v>
      </c>
      <c r="U103" s="100">
        <f>SUMIF([1]GL!$H$448:$H$480,B103:B513,[1]GL!$K$448:$K$487)</f>
        <v>0</v>
      </c>
      <c r="V103" s="102"/>
      <c r="W103" s="100"/>
      <c r="X103" s="101"/>
      <c r="Y103" s="353"/>
    </row>
    <row r="104" spans="1:25" s="105" customFormat="1" ht="15.75">
      <c r="A104" s="93" t="s">
        <v>91</v>
      </c>
      <c r="B104" s="513">
        <v>229</v>
      </c>
      <c r="C104" s="94">
        <f>+K104-M104</f>
        <v>135990</v>
      </c>
      <c r="D104" s="94"/>
      <c r="E104" s="94"/>
      <c r="F104" s="653">
        <v>135990</v>
      </c>
      <c r="G104" s="98"/>
      <c r="H104" s="99">
        <v>0</v>
      </c>
      <c r="I104" s="98">
        <f t="shared" si="5"/>
        <v>0</v>
      </c>
      <c r="J104" s="98">
        <f t="shared" si="5"/>
        <v>0</v>
      </c>
      <c r="K104" s="96">
        <f t="shared" si="6"/>
        <v>135990</v>
      </c>
      <c r="L104" s="96"/>
      <c r="M104" s="96">
        <f t="shared" si="7"/>
        <v>0</v>
      </c>
      <c r="N104" s="107">
        <f>SUMIF([1]CRJ!$H$880:$H$894,B104:B509,[1]CRJ!$J$880:$J$894)</f>
        <v>0</v>
      </c>
      <c r="O104" s="100">
        <f>SUMIF([1]CRJ!$H$880:$H$894,B104:B509,[1]CRJ!$K$880:$K$894)</f>
        <v>0</v>
      </c>
      <c r="P104" s="100">
        <f>SUMIF([1]ChkDJ!$H$849:$H$867,B104:B509,[1]ChkDJ!$J$849:$J$867)</f>
        <v>0</v>
      </c>
      <c r="Q104" s="100">
        <f>SUMIF([1]ChkDJ!$H$849:$H$867,B104:B509,[1]ChkDJ!$K$849:$K$867)</f>
        <v>0</v>
      </c>
      <c r="R104" s="100">
        <f>SUMIF([1]CDJ!$H$190:$H$197,B104:B509,[1]CDJ!$J$190:$J$197)</f>
        <v>0</v>
      </c>
      <c r="S104" s="100">
        <f>SUMIF([1]CDJ!$H$190:$H$197,B104:B509,[1]CDJ!$K$190:$K$197)</f>
        <v>0</v>
      </c>
      <c r="T104" s="102">
        <f>SUMIF([1]GL!$H$448:$H$480,B104:B514,[1]GL!$J$448:$J$487)</f>
        <v>0</v>
      </c>
      <c r="U104" s="100">
        <f>SUMIF([1]GL!$H$448:$H$480,B104:B514,[1]GL!$K$448:$K$487)</f>
        <v>0</v>
      </c>
      <c r="V104" s="102"/>
      <c r="W104" s="100"/>
      <c r="X104" s="101"/>
      <c r="Y104" s="353"/>
    </row>
    <row r="105" spans="1:25" s="105" customFormat="1" ht="15.75">
      <c r="A105" s="93" t="s">
        <v>580</v>
      </c>
      <c r="B105" s="513">
        <v>329</v>
      </c>
      <c r="C105" s="94"/>
      <c r="D105" s="94"/>
      <c r="E105" s="94">
        <f>+M105-K105</f>
        <v>5024.25</v>
      </c>
      <c r="F105" s="653">
        <v>0</v>
      </c>
      <c r="G105" s="98"/>
      <c r="H105" s="99">
        <v>4851</v>
      </c>
      <c r="I105" s="98">
        <f t="shared" si="5"/>
        <v>0</v>
      </c>
      <c r="J105" s="98">
        <f t="shared" si="5"/>
        <v>173.25</v>
      </c>
      <c r="K105" s="96">
        <f t="shared" si="6"/>
        <v>0</v>
      </c>
      <c r="L105" s="96"/>
      <c r="M105" s="96">
        <f t="shared" si="7"/>
        <v>5024.25</v>
      </c>
      <c r="N105" s="107">
        <f>SUMIF([1]CRJ!$H$880:$H$894,B105:B510,[1]CRJ!$J$880:$J$894)</f>
        <v>0</v>
      </c>
      <c r="O105" s="100">
        <f>SUMIF([1]CRJ!$H$880:$H$894,B105:B510,[1]CRJ!$K$880:$K$894)</f>
        <v>0</v>
      </c>
      <c r="P105" s="100">
        <f>SUMIF([1]ChkDJ!$H$849:$H$867,B105:B510,[1]ChkDJ!$J$849:$J$867)</f>
        <v>0</v>
      </c>
      <c r="Q105" s="100">
        <f>SUMIF([1]ChkDJ!$H$849:$H$867,B105:B510,[1]ChkDJ!$K$849:$K$867)</f>
        <v>0</v>
      </c>
      <c r="R105" s="100">
        <f>SUMIF([1]CDJ!$H$190:$H$197,B105:B510,[1]CDJ!$J$190:$J$197)</f>
        <v>0</v>
      </c>
      <c r="S105" s="100">
        <f>SUMIF([1]CDJ!$H$190:$H$197,B105:B510,[1]CDJ!$K$190:$K$197)</f>
        <v>0</v>
      </c>
      <c r="T105" s="102">
        <f>SUMIF([1]GL!$H$448:$H$480,B105:B515,[1]GL!$J$448:$J$487)</f>
        <v>0</v>
      </c>
      <c r="U105" s="100">
        <f>SUMIF([1]GL!$H$448:$H$480,B105:B515,[1]GL!$K$448:$K$487)</f>
        <v>173.25</v>
      </c>
      <c r="V105" s="102"/>
      <c r="W105" s="100"/>
      <c r="X105" s="101"/>
      <c r="Y105" s="353"/>
    </row>
    <row r="106" spans="1:25" ht="15.75">
      <c r="A106" s="93" t="s">
        <v>34</v>
      </c>
      <c r="B106" s="513">
        <v>230</v>
      </c>
      <c r="C106" s="94">
        <f t="shared" si="3"/>
        <v>523284.75</v>
      </c>
      <c r="D106" s="94"/>
      <c r="E106" s="94"/>
      <c r="F106" s="653">
        <v>523284.75</v>
      </c>
      <c r="G106" s="98"/>
      <c r="H106" s="99">
        <v>0</v>
      </c>
      <c r="I106" s="98">
        <f t="shared" si="5"/>
        <v>0</v>
      </c>
      <c r="J106" s="98">
        <f t="shared" si="5"/>
        <v>0</v>
      </c>
      <c r="K106" s="96">
        <f t="shared" si="6"/>
        <v>523284.75</v>
      </c>
      <c r="L106" s="96"/>
      <c r="M106" s="96">
        <f t="shared" si="7"/>
        <v>0</v>
      </c>
      <c r="N106" s="107">
        <f>SUMIF([1]CRJ!$H$880:$H$894,B106:B511,[1]CRJ!$J$880:$J$894)</f>
        <v>0</v>
      </c>
      <c r="O106" s="100">
        <f>SUMIF([1]CRJ!$H$880:$H$894,B106:B511,[1]CRJ!$K$880:$K$894)</f>
        <v>0</v>
      </c>
      <c r="P106" s="100">
        <f>SUMIF([1]ChkDJ!$H$849:$H$867,B106:B511,[1]ChkDJ!$J$849:$J$867)</f>
        <v>0</v>
      </c>
      <c r="Q106" s="100">
        <f>SUMIF([1]ChkDJ!$H$849:$H$867,B106:B511,[1]ChkDJ!$K$849:$K$867)</f>
        <v>0</v>
      </c>
      <c r="R106" s="100">
        <f>SUMIF([1]CDJ!$H$190:$H$197,B106:B511,[1]CDJ!$J$190:$J$197)</f>
        <v>0</v>
      </c>
      <c r="S106" s="100">
        <f>SUMIF([1]CDJ!$H$190:$H$197,B106:B511,[1]CDJ!$K$190:$K$197)</f>
        <v>0</v>
      </c>
      <c r="T106" s="102">
        <f>SUMIF([1]GL!$H$448:$H$480,B106:B516,[1]GL!$J$448:$J$487)</f>
        <v>0</v>
      </c>
      <c r="U106" s="100">
        <f>SUMIF([1]GL!$H$448:$H$480,B106:B516,[1]GL!$K$448:$K$487)</f>
        <v>0</v>
      </c>
      <c r="V106" s="102"/>
      <c r="W106" s="100"/>
      <c r="X106" s="101"/>
      <c r="Y106" s="353"/>
    </row>
    <row r="107" spans="1:25" s="344" customFormat="1" ht="15.75" hidden="1" customHeight="1">
      <c r="A107" s="421" t="s">
        <v>581</v>
      </c>
      <c r="B107" s="423">
        <v>330</v>
      </c>
      <c r="C107" s="420"/>
      <c r="D107" s="420"/>
      <c r="E107" s="420">
        <f>+M107-K107</f>
        <v>0</v>
      </c>
      <c r="F107" s="650">
        <v>0</v>
      </c>
      <c r="G107" s="651"/>
      <c r="H107" s="593">
        <v>0</v>
      </c>
      <c r="I107" s="98">
        <f t="shared" si="5"/>
        <v>0</v>
      </c>
      <c r="J107" s="98">
        <f t="shared" si="5"/>
        <v>0</v>
      </c>
      <c r="K107" s="96">
        <f t="shared" si="6"/>
        <v>0</v>
      </c>
      <c r="L107" s="96"/>
      <c r="M107" s="96">
        <f t="shared" si="7"/>
        <v>0</v>
      </c>
      <c r="N107" s="107">
        <f>SUMIF([1]CRJ!$H$880:$H$894,B107:B512,[1]CRJ!$J$880:$J$894)</f>
        <v>0</v>
      </c>
      <c r="O107" s="100">
        <f>SUMIF([1]CRJ!$H$880:$H$894,B107:B512,[1]CRJ!$K$880:$K$894)</f>
        <v>0</v>
      </c>
      <c r="P107" s="100">
        <f>SUMIF([1]ChkDJ!$H$849:$H$867,B107:B512,[1]ChkDJ!$J$849:$J$867)</f>
        <v>0</v>
      </c>
      <c r="Q107" s="100">
        <f>SUMIF([1]ChkDJ!$H$849:$H$867,B107:B512,[1]ChkDJ!$K$849:$K$867)</f>
        <v>0</v>
      </c>
      <c r="R107" s="100">
        <f>SUMIF([1]CDJ!$H$190:$H$197,B107:B512,[1]CDJ!$J$190:$J$197)</f>
        <v>0</v>
      </c>
      <c r="S107" s="100">
        <f>SUMIF([1]CDJ!$H$190:$H$197,B107:B512,[1]CDJ!$K$190:$K$197)</f>
        <v>0</v>
      </c>
      <c r="T107" s="102">
        <f>SUMIF([1]GL!$H$448:$H$480,B107:B517,[1]GL!$J$448:$J$487)</f>
        <v>0</v>
      </c>
      <c r="U107" s="100">
        <f>SUMIF([1]GL!$H$448:$H$480,B107:B517,[1]GL!$K$448:$K$487)</f>
        <v>0</v>
      </c>
      <c r="V107" s="102"/>
      <c r="W107" s="100"/>
      <c r="X107" s="101"/>
      <c r="Y107" s="353"/>
    </row>
    <row r="108" spans="1:25" ht="15.75">
      <c r="A108" s="93" t="s">
        <v>35</v>
      </c>
      <c r="B108" s="513">
        <v>231</v>
      </c>
      <c r="C108" s="94">
        <f t="shared" si="3"/>
        <v>232200</v>
      </c>
      <c r="D108" s="94"/>
      <c r="E108" s="94"/>
      <c r="F108" s="653">
        <v>232200</v>
      </c>
      <c r="G108" s="98"/>
      <c r="H108" s="96">
        <v>0</v>
      </c>
      <c r="I108" s="98">
        <f t="shared" si="5"/>
        <v>0</v>
      </c>
      <c r="J108" s="98">
        <f t="shared" si="5"/>
        <v>0</v>
      </c>
      <c r="K108" s="96">
        <f t="shared" si="6"/>
        <v>232200</v>
      </c>
      <c r="L108" s="96"/>
      <c r="M108" s="96">
        <f t="shared" si="7"/>
        <v>0</v>
      </c>
      <c r="N108" s="107">
        <f>SUMIF([1]CRJ!$H$880:$H$894,B108:B513,[1]CRJ!$J$880:$J$894)</f>
        <v>0</v>
      </c>
      <c r="O108" s="100">
        <f>SUMIF([1]CRJ!$H$880:$H$894,B108:B513,[1]CRJ!$K$880:$K$894)</f>
        <v>0</v>
      </c>
      <c r="P108" s="100">
        <f>SUMIF([1]ChkDJ!$H$849:$H$867,B108:B513,[1]ChkDJ!$J$849:$J$867)</f>
        <v>0</v>
      </c>
      <c r="Q108" s="100">
        <f>SUMIF([1]ChkDJ!$H$849:$H$867,B108:B513,[1]ChkDJ!$K$849:$K$867)</f>
        <v>0</v>
      </c>
      <c r="R108" s="100">
        <f>SUMIF([1]CDJ!$H$190:$H$197,B108:B513,[1]CDJ!$J$190:$J$197)</f>
        <v>0</v>
      </c>
      <c r="S108" s="100">
        <f>SUMIF([1]CDJ!$H$190:$H$197,B108:B513,[1]CDJ!$K$190:$K$197)</f>
        <v>0</v>
      </c>
      <c r="T108" s="102">
        <f>SUMIF([1]GL!$H$448:$H$480,B108:B518,[1]GL!$J$448:$J$487)</f>
        <v>0</v>
      </c>
      <c r="U108" s="100">
        <f>SUMIF([1]GL!$H$448:$H$480,B108:B518,[1]GL!$K$448:$K$487)</f>
        <v>0</v>
      </c>
      <c r="V108" s="102"/>
      <c r="W108" s="100"/>
      <c r="X108" s="101"/>
      <c r="Y108" s="353"/>
    </row>
    <row r="109" spans="1:25" s="344" customFormat="1" ht="15.75" hidden="1" customHeight="1">
      <c r="A109" s="421" t="s">
        <v>582</v>
      </c>
      <c r="B109" s="423">
        <v>331</v>
      </c>
      <c r="C109" s="420"/>
      <c r="D109" s="420"/>
      <c r="E109" s="420">
        <f>+M109-K109</f>
        <v>0</v>
      </c>
      <c r="F109" s="650">
        <v>0</v>
      </c>
      <c r="G109" s="651"/>
      <c r="H109" s="593">
        <v>0</v>
      </c>
      <c r="I109" s="98">
        <f t="shared" si="5"/>
        <v>0</v>
      </c>
      <c r="J109" s="98">
        <f t="shared" si="5"/>
        <v>0</v>
      </c>
      <c r="K109" s="96">
        <f t="shared" si="6"/>
        <v>0</v>
      </c>
      <c r="L109" s="96"/>
      <c r="M109" s="96">
        <f t="shared" si="7"/>
        <v>0</v>
      </c>
      <c r="N109" s="107">
        <f>SUMIF([1]CRJ!$H$880:$H$894,B109:B514,[1]CRJ!$J$880:$J$894)</f>
        <v>0</v>
      </c>
      <c r="O109" s="100">
        <f>SUMIF([1]CRJ!$H$880:$H$894,B109:B514,[1]CRJ!$K$880:$K$894)</f>
        <v>0</v>
      </c>
      <c r="P109" s="100">
        <f>SUMIF([1]ChkDJ!$H$849:$H$867,B109:B514,[1]ChkDJ!$J$849:$J$867)</f>
        <v>0</v>
      </c>
      <c r="Q109" s="100">
        <f>SUMIF([1]ChkDJ!$H$849:$H$867,B109:B514,[1]ChkDJ!$K$849:$K$867)</f>
        <v>0</v>
      </c>
      <c r="R109" s="100">
        <f>SUMIF([1]CDJ!$H$190:$H$197,B109:B514,[1]CDJ!$J$190:$J$197)</f>
        <v>0</v>
      </c>
      <c r="S109" s="100">
        <f>SUMIF([1]CDJ!$H$190:$H$197,B109:B514,[1]CDJ!$K$190:$K$197)</f>
        <v>0</v>
      </c>
      <c r="T109" s="102">
        <f>SUMIF([1]GL!$H$448:$H$480,B109:B519,[1]GL!$J$448:$J$487)</f>
        <v>0</v>
      </c>
      <c r="U109" s="100">
        <f>SUMIF([1]GL!$H$448:$H$480,B109:B519,[1]GL!$K$448:$K$487)</f>
        <v>0</v>
      </c>
      <c r="V109" s="102"/>
      <c r="W109" s="100"/>
      <c r="X109" s="101"/>
      <c r="Y109" s="353"/>
    </row>
    <row r="110" spans="1:25" s="344" customFormat="1" ht="15.75" hidden="1" customHeight="1">
      <c r="A110" s="419" t="s">
        <v>583</v>
      </c>
      <c r="B110" s="423">
        <v>232</v>
      </c>
      <c r="C110" s="420">
        <f>+K110-M110</f>
        <v>0</v>
      </c>
      <c r="D110" s="420"/>
      <c r="E110" s="420"/>
      <c r="F110" s="650">
        <v>0</v>
      </c>
      <c r="G110" s="651"/>
      <c r="H110" s="593">
        <v>0</v>
      </c>
      <c r="I110" s="98">
        <f t="shared" si="5"/>
        <v>0</v>
      </c>
      <c r="J110" s="98">
        <f t="shared" si="5"/>
        <v>0</v>
      </c>
      <c r="K110" s="96">
        <f t="shared" si="6"/>
        <v>0</v>
      </c>
      <c r="L110" s="96"/>
      <c r="M110" s="96">
        <f t="shared" si="7"/>
        <v>0</v>
      </c>
      <c r="N110" s="107">
        <f>SUMIF([1]CRJ!$H$880:$H$894,B110:B515,[1]CRJ!$J$880:$J$894)</f>
        <v>0</v>
      </c>
      <c r="O110" s="100">
        <f>SUMIF([1]CRJ!$H$880:$H$894,B110:B515,[1]CRJ!$K$880:$K$894)</f>
        <v>0</v>
      </c>
      <c r="P110" s="100">
        <f>SUMIF([1]ChkDJ!$H$849:$H$867,B110:B515,[1]ChkDJ!$J$849:$J$867)</f>
        <v>0</v>
      </c>
      <c r="Q110" s="100">
        <f>SUMIF([1]ChkDJ!$H$849:$H$867,B110:B515,[1]ChkDJ!$K$849:$K$867)</f>
        <v>0</v>
      </c>
      <c r="R110" s="100">
        <f>SUMIF([1]CDJ!$H$190:$H$197,B110:B515,[1]CDJ!$J$190:$J$197)</f>
        <v>0</v>
      </c>
      <c r="S110" s="100">
        <f>SUMIF([1]CDJ!$H$190:$H$197,B110:B515,[1]CDJ!$K$190:$K$197)</f>
        <v>0</v>
      </c>
      <c r="T110" s="102">
        <f>SUMIF([1]GL!$H$448:$H$480,B110:B520,[1]GL!$J$448:$J$487)</f>
        <v>0</v>
      </c>
      <c r="U110" s="100">
        <f>SUMIF([1]GL!$H$448:$H$480,B110:B520,[1]GL!$K$448:$K$487)</f>
        <v>0</v>
      </c>
      <c r="V110" s="102"/>
      <c r="W110" s="100"/>
      <c r="X110" s="101"/>
      <c r="Y110" s="353"/>
    </row>
    <row r="111" spans="1:25" s="344" customFormat="1" ht="15.75" hidden="1" customHeight="1">
      <c r="A111" s="421" t="s">
        <v>584</v>
      </c>
      <c r="B111" s="423">
        <v>332</v>
      </c>
      <c r="C111" s="420"/>
      <c r="D111" s="420"/>
      <c r="E111" s="420">
        <f>+M111-K111</f>
        <v>0</v>
      </c>
      <c r="F111" s="650">
        <v>0</v>
      </c>
      <c r="G111" s="651"/>
      <c r="H111" s="593">
        <v>0</v>
      </c>
      <c r="I111" s="98">
        <f t="shared" si="5"/>
        <v>0</v>
      </c>
      <c r="J111" s="98">
        <f t="shared" si="5"/>
        <v>0</v>
      </c>
      <c r="K111" s="96">
        <f t="shared" si="6"/>
        <v>0</v>
      </c>
      <c r="L111" s="96"/>
      <c r="M111" s="96">
        <f t="shared" si="7"/>
        <v>0</v>
      </c>
      <c r="N111" s="107">
        <f>SUMIF([1]CRJ!$H$880:$H$894,B111:B516,[1]CRJ!$J$880:$J$894)</f>
        <v>0</v>
      </c>
      <c r="O111" s="100">
        <f>SUMIF([1]CRJ!$H$880:$H$894,B111:B516,[1]CRJ!$K$880:$K$894)</f>
        <v>0</v>
      </c>
      <c r="P111" s="100">
        <f>SUMIF([1]ChkDJ!$H$849:$H$867,B111:B516,[1]ChkDJ!$J$849:$J$867)</f>
        <v>0</v>
      </c>
      <c r="Q111" s="100">
        <f>SUMIF([1]ChkDJ!$H$849:$H$867,B111:B516,[1]ChkDJ!$K$849:$K$867)</f>
        <v>0</v>
      </c>
      <c r="R111" s="100">
        <f>SUMIF([1]CDJ!$H$190:$H$197,B111:B516,[1]CDJ!$J$190:$J$197)</f>
        <v>0</v>
      </c>
      <c r="S111" s="100">
        <f>SUMIF([1]CDJ!$H$190:$H$197,B111:B516,[1]CDJ!$K$190:$K$197)</f>
        <v>0</v>
      </c>
      <c r="T111" s="102">
        <f>SUMIF([1]GL!$H$448:$H$480,B111:B521,[1]GL!$J$448:$J$487)</f>
        <v>0</v>
      </c>
      <c r="U111" s="100">
        <f>SUMIF([1]GL!$H$448:$H$480,B111:B521,[1]GL!$K$448:$K$487)</f>
        <v>0</v>
      </c>
      <c r="V111" s="102"/>
      <c r="W111" s="100"/>
      <c r="X111" s="101"/>
      <c r="Y111" s="353"/>
    </row>
    <row r="112" spans="1:25" s="350" customFormat="1" ht="15.75" hidden="1" customHeight="1">
      <c r="A112" s="419" t="s">
        <v>585</v>
      </c>
      <c r="B112" s="423">
        <v>233</v>
      </c>
      <c r="C112" s="420">
        <f>+K112-M112</f>
        <v>0</v>
      </c>
      <c r="D112" s="420"/>
      <c r="E112" s="420"/>
      <c r="F112" s="650">
        <v>0</v>
      </c>
      <c r="G112" s="651"/>
      <c r="H112" s="593">
        <v>0</v>
      </c>
      <c r="I112" s="98">
        <f t="shared" si="5"/>
        <v>0</v>
      </c>
      <c r="J112" s="98">
        <f t="shared" si="5"/>
        <v>0</v>
      </c>
      <c r="K112" s="96">
        <f t="shared" si="6"/>
        <v>0</v>
      </c>
      <c r="L112" s="96"/>
      <c r="M112" s="96">
        <f t="shared" si="7"/>
        <v>0</v>
      </c>
      <c r="N112" s="107">
        <f>SUMIF([1]CRJ!$H$880:$H$894,B112:B517,[1]CRJ!$J$880:$J$894)</f>
        <v>0</v>
      </c>
      <c r="O112" s="100">
        <f>SUMIF([1]CRJ!$H$880:$H$894,B112:B517,[1]CRJ!$K$880:$K$894)</f>
        <v>0</v>
      </c>
      <c r="P112" s="100">
        <f>SUMIF([1]ChkDJ!$H$849:$H$867,B112:B517,[1]ChkDJ!$J$849:$J$867)</f>
        <v>0</v>
      </c>
      <c r="Q112" s="100">
        <f>SUMIF([1]ChkDJ!$H$849:$H$867,B112:B517,[1]ChkDJ!$K$849:$K$867)</f>
        <v>0</v>
      </c>
      <c r="R112" s="100">
        <f>SUMIF([1]CDJ!$H$190:$H$197,B112:B517,[1]CDJ!$J$190:$J$197)</f>
        <v>0</v>
      </c>
      <c r="S112" s="100">
        <f>SUMIF([1]CDJ!$H$190:$H$197,B112:B517,[1]CDJ!$K$190:$K$197)</f>
        <v>0</v>
      </c>
      <c r="T112" s="102">
        <f>SUMIF([1]GL!$H$448:$H$480,B112:B522,[1]GL!$J$448:$J$487)</f>
        <v>0</v>
      </c>
      <c r="U112" s="100">
        <f>SUMIF([1]GL!$H$448:$H$480,B112:B522,[1]GL!$K$448:$K$487)</f>
        <v>0</v>
      </c>
      <c r="V112" s="102"/>
      <c r="W112" s="100"/>
      <c r="X112" s="101"/>
      <c r="Y112" s="353"/>
    </row>
    <row r="113" spans="1:25" s="344" customFormat="1" ht="15.75" hidden="1" customHeight="1">
      <c r="A113" s="421" t="s">
        <v>586</v>
      </c>
      <c r="B113" s="423">
        <v>333</v>
      </c>
      <c r="C113" s="420"/>
      <c r="D113" s="420"/>
      <c r="E113" s="420">
        <f>+M113-K113</f>
        <v>0</v>
      </c>
      <c r="F113" s="650">
        <v>0</v>
      </c>
      <c r="G113" s="651"/>
      <c r="H113" s="593">
        <v>0</v>
      </c>
      <c r="I113" s="98">
        <f t="shared" si="5"/>
        <v>0</v>
      </c>
      <c r="J113" s="98">
        <f t="shared" si="5"/>
        <v>0</v>
      </c>
      <c r="K113" s="96">
        <f t="shared" si="6"/>
        <v>0</v>
      </c>
      <c r="L113" s="96"/>
      <c r="M113" s="96">
        <f t="shared" si="7"/>
        <v>0</v>
      </c>
      <c r="N113" s="107">
        <f>SUMIF([1]CRJ!$H$880:$H$894,B113:B518,[1]CRJ!$J$880:$J$894)</f>
        <v>0</v>
      </c>
      <c r="O113" s="100">
        <f>SUMIF([1]CRJ!$H$880:$H$894,B113:B518,[1]CRJ!$K$880:$K$894)</f>
        <v>0</v>
      </c>
      <c r="P113" s="100">
        <f>SUMIF([1]ChkDJ!$H$849:$H$867,B113:B518,[1]ChkDJ!$J$849:$J$867)</f>
        <v>0</v>
      </c>
      <c r="Q113" s="100">
        <f>SUMIF([1]ChkDJ!$H$849:$H$867,B113:B518,[1]ChkDJ!$K$849:$K$867)</f>
        <v>0</v>
      </c>
      <c r="R113" s="100">
        <f>SUMIF([1]CDJ!$H$190:$H$197,B113:B518,[1]CDJ!$J$190:$J$197)</f>
        <v>0</v>
      </c>
      <c r="S113" s="100">
        <f>SUMIF([1]CDJ!$H$190:$H$197,B113:B518,[1]CDJ!$K$190:$K$197)</f>
        <v>0</v>
      </c>
      <c r="T113" s="102">
        <f>SUMIF([1]GL!$H$448:$H$480,B113:B523,[1]GL!$J$448:$J$487)</f>
        <v>0</v>
      </c>
      <c r="U113" s="100">
        <f>SUMIF([1]GL!$H$448:$H$480,B113:B523,[1]GL!$K$448:$K$487)</f>
        <v>0</v>
      </c>
      <c r="V113" s="102"/>
      <c r="W113" s="100"/>
      <c r="X113" s="101"/>
      <c r="Y113" s="353"/>
    </row>
    <row r="114" spans="1:25" s="344" customFormat="1" ht="15.75" hidden="1" customHeight="1">
      <c r="A114" s="421" t="s">
        <v>587</v>
      </c>
      <c r="B114" s="423">
        <v>234</v>
      </c>
      <c r="C114" s="420">
        <f>+K114-M114</f>
        <v>0</v>
      </c>
      <c r="D114" s="420"/>
      <c r="E114" s="420"/>
      <c r="F114" s="650">
        <v>0</v>
      </c>
      <c r="G114" s="651"/>
      <c r="H114" s="593">
        <v>0</v>
      </c>
      <c r="I114" s="98">
        <f t="shared" si="5"/>
        <v>0</v>
      </c>
      <c r="J114" s="98">
        <f t="shared" si="5"/>
        <v>0</v>
      </c>
      <c r="K114" s="96">
        <f t="shared" si="6"/>
        <v>0</v>
      </c>
      <c r="L114" s="96"/>
      <c r="M114" s="96">
        <f t="shared" si="7"/>
        <v>0</v>
      </c>
      <c r="N114" s="107">
        <f>SUMIF([1]CRJ!$H$880:$H$894,B114:B519,[1]CRJ!$J$880:$J$894)</f>
        <v>0</v>
      </c>
      <c r="O114" s="100">
        <f>SUMIF([1]CRJ!$H$880:$H$894,B114:B519,[1]CRJ!$K$880:$K$894)</f>
        <v>0</v>
      </c>
      <c r="P114" s="100">
        <f>SUMIF([1]ChkDJ!$H$849:$H$867,B114:B519,[1]ChkDJ!$J$849:$J$867)</f>
        <v>0</v>
      </c>
      <c r="Q114" s="100">
        <f>SUMIF([1]ChkDJ!$H$849:$H$867,B114:B519,[1]ChkDJ!$K$849:$K$867)</f>
        <v>0</v>
      </c>
      <c r="R114" s="100">
        <f>SUMIF([1]CDJ!$H$190:$H$197,B114:B519,[1]CDJ!$J$190:$J$197)</f>
        <v>0</v>
      </c>
      <c r="S114" s="100">
        <f>SUMIF([1]CDJ!$H$190:$H$197,B114:B519,[1]CDJ!$K$190:$K$197)</f>
        <v>0</v>
      </c>
      <c r="T114" s="102">
        <f>SUMIF([1]GL!$H$448:$H$480,B114:B524,[1]GL!$J$448:$J$487)</f>
        <v>0</v>
      </c>
      <c r="U114" s="100">
        <f>SUMIF([1]GL!$H$448:$H$480,B114:B524,[1]GL!$K$448:$K$487)</f>
        <v>0</v>
      </c>
      <c r="V114" s="102"/>
      <c r="W114" s="100"/>
      <c r="X114" s="101"/>
      <c r="Y114" s="353"/>
    </row>
    <row r="115" spans="1:25" s="344" customFormat="1" ht="15.75" hidden="1" customHeight="1">
      <c r="A115" s="421" t="s">
        <v>588</v>
      </c>
      <c r="B115" s="423">
        <v>334</v>
      </c>
      <c r="C115" s="420"/>
      <c r="D115" s="420"/>
      <c r="E115" s="420">
        <f>+M115-K115</f>
        <v>0</v>
      </c>
      <c r="F115" s="650">
        <v>0</v>
      </c>
      <c r="G115" s="651"/>
      <c r="H115" s="593">
        <v>0</v>
      </c>
      <c r="I115" s="98">
        <f t="shared" si="5"/>
        <v>0</v>
      </c>
      <c r="J115" s="98">
        <f t="shared" si="5"/>
        <v>0</v>
      </c>
      <c r="K115" s="96">
        <f t="shared" si="6"/>
        <v>0</v>
      </c>
      <c r="L115" s="96"/>
      <c r="M115" s="96">
        <f t="shared" si="7"/>
        <v>0</v>
      </c>
      <c r="N115" s="107">
        <f>SUMIF([1]CRJ!$H$880:$H$894,B115:B520,[1]CRJ!$J$880:$J$894)</f>
        <v>0</v>
      </c>
      <c r="O115" s="100">
        <f>SUMIF([1]CRJ!$H$880:$H$894,B115:B520,[1]CRJ!$K$880:$K$894)</f>
        <v>0</v>
      </c>
      <c r="P115" s="100">
        <f>SUMIF([1]ChkDJ!$H$849:$H$867,B115:B520,[1]ChkDJ!$J$849:$J$867)</f>
        <v>0</v>
      </c>
      <c r="Q115" s="100">
        <f>SUMIF([1]ChkDJ!$H$849:$H$867,B115:B520,[1]ChkDJ!$K$849:$K$867)</f>
        <v>0</v>
      </c>
      <c r="R115" s="100">
        <f>SUMIF([1]CDJ!$H$190:$H$197,B115:B520,[1]CDJ!$J$190:$J$197)</f>
        <v>0</v>
      </c>
      <c r="S115" s="100">
        <f>SUMIF([1]CDJ!$H$190:$H$197,B115:B520,[1]CDJ!$K$190:$K$197)</f>
        <v>0</v>
      </c>
      <c r="T115" s="102">
        <f>SUMIF([1]GL!$H$448:$H$480,B115:B525,[1]GL!$J$448:$J$487)</f>
        <v>0</v>
      </c>
      <c r="U115" s="100">
        <f>SUMIF([1]GL!$H$448:$H$480,B115:B525,[1]GL!$K$448:$K$487)</f>
        <v>0</v>
      </c>
      <c r="V115" s="102"/>
      <c r="W115" s="100"/>
      <c r="X115" s="101"/>
      <c r="Y115" s="353"/>
    </row>
    <row r="116" spans="1:25" s="105" customFormat="1" ht="15.75">
      <c r="A116" s="93" t="s">
        <v>92</v>
      </c>
      <c r="B116" s="513">
        <v>235</v>
      </c>
      <c r="C116" s="94">
        <f t="shared" si="3"/>
        <v>2776111.95</v>
      </c>
      <c r="D116" s="94"/>
      <c r="E116" s="94"/>
      <c r="F116" s="653">
        <v>2776111.95</v>
      </c>
      <c r="G116" s="98"/>
      <c r="H116" s="96">
        <v>0</v>
      </c>
      <c r="I116" s="98">
        <f t="shared" si="5"/>
        <v>0</v>
      </c>
      <c r="J116" s="98">
        <f t="shared" si="5"/>
        <v>0</v>
      </c>
      <c r="K116" s="96">
        <f t="shared" si="6"/>
        <v>2776111.95</v>
      </c>
      <c r="L116" s="96"/>
      <c r="M116" s="96">
        <f t="shared" si="7"/>
        <v>0</v>
      </c>
      <c r="N116" s="107">
        <f>SUMIF([1]CRJ!$H$880:$H$894,B116:B521,[1]CRJ!$J$880:$J$894)</f>
        <v>0</v>
      </c>
      <c r="O116" s="100">
        <f>SUMIF([1]CRJ!$H$880:$H$894,B116:B521,[1]CRJ!$K$880:$K$894)</f>
        <v>0</v>
      </c>
      <c r="P116" s="100">
        <f>SUMIF([1]ChkDJ!$H$849:$H$867,B116:B521,[1]ChkDJ!$J$849:$J$867)</f>
        <v>0</v>
      </c>
      <c r="Q116" s="100">
        <f>SUMIF([1]ChkDJ!$H$849:$H$867,B116:B521,[1]ChkDJ!$K$849:$K$867)</f>
        <v>0</v>
      </c>
      <c r="R116" s="100">
        <f>SUMIF([1]CDJ!$H$190:$H$197,B116:B521,[1]CDJ!$J$190:$J$197)</f>
        <v>0</v>
      </c>
      <c r="S116" s="100">
        <f>SUMIF([1]CDJ!$H$190:$H$197,B116:B521,[1]CDJ!$K$190:$K$197)</f>
        <v>0</v>
      </c>
      <c r="T116" s="102">
        <f>SUMIF([1]GL!$H$448:$H$480,B116:B526,[1]GL!$J$448:$J$487)</f>
        <v>0</v>
      </c>
      <c r="U116" s="100">
        <f>SUMIF([1]GL!$H$448:$H$480,B116:B526,[1]GL!$K$448:$K$487)</f>
        <v>0</v>
      </c>
      <c r="V116" s="102"/>
      <c r="W116" s="100"/>
      <c r="X116" s="101"/>
      <c r="Y116" s="353"/>
    </row>
    <row r="117" spans="1:25" s="105" customFormat="1" ht="15.75">
      <c r="A117" s="93" t="s">
        <v>589</v>
      </c>
      <c r="B117" s="513">
        <v>335</v>
      </c>
      <c r="C117" s="94"/>
      <c r="D117" s="94"/>
      <c r="E117" s="94">
        <f>+M117-K117</f>
        <v>246031.72000000029</v>
      </c>
      <c r="F117" s="653">
        <v>0</v>
      </c>
      <c r="G117" s="98"/>
      <c r="H117" s="96">
        <v>242585.24000000028</v>
      </c>
      <c r="I117" s="98">
        <f t="shared" si="5"/>
        <v>0</v>
      </c>
      <c r="J117" s="98">
        <f t="shared" si="5"/>
        <v>3446.48</v>
      </c>
      <c r="K117" s="96">
        <f t="shared" si="6"/>
        <v>0</v>
      </c>
      <c r="L117" s="96"/>
      <c r="M117" s="96">
        <f t="shared" si="7"/>
        <v>246031.72000000029</v>
      </c>
      <c r="N117" s="107">
        <f>SUMIF([1]CRJ!$H$880:$H$894,B117:B522,[1]CRJ!$J$880:$J$894)</f>
        <v>0</v>
      </c>
      <c r="O117" s="100">
        <f>SUMIF([1]CRJ!$H$880:$H$894,B117:B522,[1]CRJ!$K$880:$K$894)</f>
        <v>0</v>
      </c>
      <c r="P117" s="100">
        <f>SUMIF([1]ChkDJ!$H$849:$H$867,B117:B522,[1]ChkDJ!$J$849:$J$867)</f>
        <v>0</v>
      </c>
      <c r="Q117" s="100">
        <f>SUMIF([1]ChkDJ!$H$849:$H$867,B117:B522,[1]ChkDJ!$K$849:$K$867)</f>
        <v>0</v>
      </c>
      <c r="R117" s="100">
        <f>SUMIF([1]CDJ!$H$190:$H$197,B117:B522,[1]CDJ!$J$190:$J$197)</f>
        <v>0</v>
      </c>
      <c r="S117" s="100">
        <f>SUMIF([1]CDJ!$H$190:$H$197,B117:B522,[1]CDJ!$K$190:$K$197)</f>
        <v>0</v>
      </c>
      <c r="T117" s="102">
        <f>SUMIF([1]GL!$H$448:$H$480,B117:B527,[1]GL!$J$448:$J$487)</f>
        <v>0</v>
      </c>
      <c r="U117" s="100">
        <f>SUMIF([1]GL!$H$448:$H$480,B117:B527,[1]GL!$K$448:$K$487)</f>
        <v>3446.48</v>
      </c>
      <c r="V117" s="102"/>
      <c r="W117" s="100"/>
      <c r="X117" s="101"/>
      <c r="Y117" s="353"/>
    </row>
    <row r="118" spans="1:25" s="105" customFormat="1" ht="15.75">
      <c r="A118" s="93" t="s">
        <v>81</v>
      </c>
      <c r="B118" s="513">
        <v>236</v>
      </c>
      <c r="C118" s="94">
        <f t="shared" si="3"/>
        <v>141736.85</v>
      </c>
      <c r="D118" s="94"/>
      <c r="E118" s="94"/>
      <c r="F118" s="653">
        <v>141736.85</v>
      </c>
      <c r="G118" s="98"/>
      <c r="H118" s="96">
        <v>0</v>
      </c>
      <c r="I118" s="98">
        <f t="shared" si="5"/>
        <v>0</v>
      </c>
      <c r="J118" s="98">
        <f t="shared" si="5"/>
        <v>0</v>
      </c>
      <c r="K118" s="96">
        <f t="shared" si="6"/>
        <v>141736.85</v>
      </c>
      <c r="L118" s="96"/>
      <c r="M118" s="96">
        <f t="shared" si="7"/>
        <v>0</v>
      </c>
      <c r="N118" s="107">
        <f>SUMIF([1]CRJ!$H$880:$H$894,B118:B523,[1]CRJ!$J$880:$J$894)</f>
        <v>0</v>
      </c>
      <c r="O118" s="100">
        <f>SUMIF([1]CRJ!$H$880:$H$894,B118:B523,[1]CRJ!$K$880:$K$894)</f>
        <v>0</v>
      </c>
      <c r="P118" s="100">
        <f>SUMIF([1]ChkDJ!$H$849:$H$867,B118:B523,[1]ChkDJ!$J$849:$J$867)</f>
        <v>0</v>
      </c>
      <c r="Q118" s="100">
        <f>SUMIF([1]ChkDJ!$H$849:$H$867,B118:B523,[1]ChkDJ!$K$849:$K$867)</f>
        <v>0</v>
      </c>
      <c r="R118" s="100">
        <f>SUMIF([1]CDJ!$H$190:$H$197,B118:B523,[1]CDJ!$J$190:$J$197)</f>
        <v>0</v>
      </c>
      <c r="S118" s="100">
        <f>SUMIF([1]CDJ!$H$190:$H$197,B118:B523,[1]CDJ!$K$190:$K$197)</f>
        <v>0</v>
      </c>
      <c r="T118" s="102">
        <f>SUMIF([1]GL!$H$448:$H$480,B118:B528,[1]GL!$J$448:$J$487)</f>
        <v>0</v>
      </c>
      <c r="U118" s="100">
        <f>SUMIF([1]GL!$H$448:$H$480,B118:B528,[1]GL!$K$448:$K$487)</f>
        <v>0</v>
      </c>
      <c r="V118" s="102"/>
      <c r="W118" s="100"/>
      <c r="X118" s="101"/>
      <c r="Y118" s="353"/>
    </row>
    <row r="119" spans="1:25" s="105" customFormat="1" ht="15.75">
      <c r="A119" s="93" t="s">
        <v>590</v>
      </c>
      <c r="B119" s="513">
        <v>336</v>
      </c>
      <c r="C119" s="94"/>
      <c r="D119" s="94"/>
      <c r="E119" s="94">
        <f>+M119-K119</f>
        <v>67512</v>
      </c>
      <c r="F119" s="653">
        <v>0</v>
      </c>
      <c r="G119" s="98"/>
      <c r="H119" s="96">
        <v>66930</v>
      </c>
      <c r="I119" s="98">
        <f t="shared" si="5"/>
        <v>0</v>
      </c>
      <c r="J119" s="98">
        <f t="shared" si="5"/>
        <v>582</v>
      </c>
      <c r="K119" s="96">
        <f t="shared" si="6"/>
        <v>0</v>
      </c>
      <c r="L119" s="96"/>
      <c r="M119" s="96">
        <f t="shared" si="7"/>
        <v>67512</v>
      </c>
      <c r="N119" s="107">
        <f>SUMIF([1]CRJ!$H$880:$H$894,B119:B524,[1]CRJ!$J$880:$J$894)</f>
        <v>0</v>
      </c>
      <c r="O119" s="100">
        <f>SUMIF([1]CRJ!$H$880:$H$894,B119:B524,[1]CRJ!$K$880:$K$894)</f>
        <v>0</v>
      </c>
      <c r="P119" s="100">
        <f>SUMIF([1]ChkDJ!$H$849:$H$867,B119:B524,[1]ChkDJ!$J$849:$J$867)</f>
        <v>0</v>
      </c>
      <c r="Q119" s="100">
        <f>SUMIF([1]ChkDJ!$H$849:$H$867,B119:B524,[1]ChkDJ!$K$849:$K$867)</f>
        <v>0</v>
      </c>
      <c r="R119" s="100">
        <f>SUMIF([1]CDJ!$H$190:$H$197,B119:B524,[1]CDJ!$J$190:$J$197)</f>
        <v>0</v>
      </c>
      <c r="S119" s="100">
        <f>SUMIF([1]CDJ!$H$190:$H$197,B119:B524,[1]CDJ!$K$190:$K$197)</f>
        <v>0</v>
      </c>
      <c r="T119" s="102">
        <f>SUMIF([1]GL!$H$448:$H$480,B119:B529,[1]GL!$J$448:$J$487)</f>
        <v>0</v>
      </c>
      <c r="U119" s="100">
        <f>SUMIF([1]GL!$H$448:$H$480,B119:B529,[1]GL!$K$448:$K$487)</f>
        <v>582</v>
      </c>
      <c r="V119" s="102"/>
      <c r="W119" s="100"/>
      <c r="X119" s="101"/>
      <c r="Y119" s="353"/>
    </row>
    <row r="120" spans="1:25" s="344" customFormat="1" ht="15.75" hidden="1" customHeight="1">
      <c r="A120" s="419" t="s">
        <v>591</v>
      </c>
      <c r="B120" s="423">
        <v>240</v>
      </c>
      <c r="C120" s="420">
        <f>+K120-M120</f>
        <v>0</v>
      </c>
      <c r="D120" s="420"/>
      <c r="E120" s="420"/>
      <c r="F120" s="650">
        <v>0</v>
      </c>
      <c r="G120" s="651"/>
      <c r="H120" s="593">
        <v>0</v>
      </c>
      <c r="I120" s="98">
        <f t="shared" si="5"/>
        <v>0</v>
      </c>
      <c r="J120" s="98">
        <f t="shared" si="5"/>
        <v>0</v>
      </c>
      <c r="K120" s="96">
        <f t="shared" si="6"/>
        <v>0</v>
      </c>
      <c r="L120" s="96"/>
      <c r="M120" s="96">
        <f t="shared" si="7"/>
        <v>0</v>
      </c>
      <c r="N120" s="107">
        <f>SUMIF([1]CRJ!$H$880:$H$894,B120:B525,[1]CRJ!$J$880:$J$894)</f>
        <v>0</v>
      </c>
      <c r="O120" s="100">
        <f>SUMIF([1]CRJ!$H$880:$H$894,B120:B525,[1]CRJ!$K$880:$K$894)</f>
        <v>0</v>
      </c>
      <c r="P120" s="100">
        <f>SUMIF([1]ChkDJ!$H$849:$H$867,B120:B525,[1]ChkDJ!$J$849:$J$867)</f>
        <v>0</v>
      </c>
      <c r="Q120" s="100">
        <f>SUMIF([1]ChkDJ!$H$849:$H$867,B120:B525,[1]ChkDJ!$K$849:$K$867)</f>
        <v>0</v>
      </c>
      <c r="R120" s="100">
        <f>SUMIF([1]CDJ!$H$190:$H$197,B120:B525,[1]CDJ!$J$190:$J$197)</f>
        <v>0</v>
      </c>
      <c r="S120" s="100">
        <f>SUMIF([1]CDJ!$H$190:$H$197,B120:B525,[1]CDJ!$K$190:$K$197)</f>
        <v>0</v>
      </c>
      <c r="T120" s="102">
        <f>SUMIF([1]GL!$H$448:$H$480,B120:B530,[1]GL!$J$448:$J$487)</f>
        <v>0</v>
      </c>
      <c r="U120" s="100">
        <f>SUMIF([1]GL!$H$448:$H$480,B120:B530,[1]GL!$K$448:$K$487)</f>
        <v>0</v>
      </c>
      <c r="V120" s="102"/>
      <c r="W120" s="100"/>
      <c r="X120" s="101"/>
      <c r="Y120" s="353"/>
    </row>
    <row r="121" spans="1:25" s="344" customFormat="1" ht="15.75" hidden="1" customHeight="1">
      <c r="A121" s="67" t="s">
        <v>592</v>
      </c>
      <c r="B121" s="423">
        <v>340</v>
      </c>
      <c r="C121" s="420"/>
      <c r="D121" s="420"/>
      <c r="E121" s="420">
        <f>+M121-K121</f>
        <v>0</v>
      </c>
      <c r="F121" s="650">
        <v>0</v>
      </c>
      <c r="G121" s="651"/>
      <c r="H121" s="593">
        <v>0</v>
      </c>
      <c r="I121" s="98">
        <f t="shared" si="5"/>
        <v>0</v>
      </c>
      <c r="J121" s="98">
        <f t="shared" si="5"/>
        <v>0</v>
      </c>
      <c r="K121" s="96">
        <f t="shared" si="6"/>
        <v>0</v>
      </c>
      <c r="L121" s="96"/>
      <c r="M121" s="96">
        <f t="shared" si="7"/>
        <v>0</v>
      </c>
      <c r="N121" s="107">
        <f>SUMIF([1]CRJ!$H$880:$H$894,B121:B526,[1]CRJ!$J$880:$J$894)</f>
        <v>0</v>
      </c>
      <c r="O121" s="100">
        <f>SUMIF([1]CRJ!$H$880:$H$894,B121:B526,[1]CRJ!$K$880:$K$894)</f>
        <v>0</v>
      </c>
      <c r="P121" s="100">
        <f>SUMIF([1]ChkDJ!$H$849:$H$867,B121:B526,[1]ChkDJ!$J$849:$J$867)</f>
        <v>0</v>
      </c>
      <c r="Q121" s="100">
        <f>SUMIF([1]ChkDJ!$H$849:$H$867,B121:B526,[1]ChkDJ!$K$849:$K$867)</f>
        <v>0</v>
      </c>
      <c r="R121" s="100">
        <f>SUMIF([1]CDJ!$H$190:$H$197,B121:B526,[1]CDJ!$J$190:$J$197)</f>
        <v>0</v>
      </c>
      <c r="S121" s="100">
        <f>SUMIF([1]CDJ!$H$190:$H$197,B121:B526,[1]CDJ!$K$190:$K$197)</f>
        <v>0</v>
      </c>
      <c r="T121" s="102">
        <f>SUMIF([1]GL!$H$448:$H$480,B121:B531,[1]GL!$J$448:$J$487)</f>
        <v>0</v>
      </c>
      <c r="U121" s="100">
        <f>SUMIF([1]GL!$H$448:$H$480,B121:B531,[1]GL!$K$448:$K$487)</f>
        <v>0</v>
      </c>
      <c r="V121" s="102"/>
      <c r="W121" s="100"/>
      <c r="X121" s="101"/>
      <c r="Y121" s="353"/>
    </row>
    <row r="122" spans="1:25" s="105" customFormat="1" ht="15.75">
      <c r="A122" s="93" t="s">
        <v>82</v>
      </c>
      <c r="B122" s="513">
        <v>241</v>
      </c>
      <c r="C122" s="94">
        <f t="shared" si="3"/>
        <v>1502200</v>
      </c>
      <c r="D122" s="94"/>
      <c r="E122" s="94"/>
      <c r="F122" s="653">
        <v>1502200</v>
      </c>
      <c r="G122" s="98"/>
      <c r="H122" s="96">
        <v>0</v>
      </c>
      <c r="I122" s="98">
        <f t="shared" si="5"/>
        <v>0</v>
      </c>
      <c r="J122" s="98">
        <f t="shared" si="5"/>
        <v>0</v>
      </c>
      <c r="K122" s="96">
        <f t="shared" si="6"/>
        <v>1502200</v>
      </c>
      <c r="L122" s="96"/>
      <c r="M122" s="96">
        <f t="shared" si="7"/>
        <v>0</v>
      </c>
      <c r="N122" s="107">
        <f>SUMIF([1]CRJ!$H$880:$H$894,B122:B527,[1]CRJ!$J$880:$J$894)</f>
        <v>0</v>
      </c>
      <c r="O122" s="100">
        <f>SUMIF([1]CRJ!$H$880:$H$894,B122:B527,[1]CRJ!$K$880:$K$894)</f>
        <v>0</v>
      </c>
      <c r="P122" s="100">
        <f>SUMIF([1]ChkDJ!$H$849:$H$867,B122:B527,[1]ChkDJ!$J$849:$J$867)</f>
        <v>0</v>
      </c>
      <c r="Q122" s="100">
        <f>SUMIF([1]ChkDJ!$H$849:$H$867,B122:B527,[1]ChkDJ!$K$849:$K$867)</f>
        <v>0</v>
      </c>
      <c r="R122" s="100">
        <f>SUMIF([1]CDJ!$H$190:$H$197,B122:B527,[1]CDJ!$J$190:$J$197)</f>
        <v>0</v>
      </c>
      <c r="S122" s="100">
        <f>SUMIF([1]CDJ!$H$190:$H$197,B122:B527,[1]CDJ!$K$190:$K$197)</f>
        <v>0</v>
      </c>
      <c r="T122" s="102">
        <f>SUMIF([1]GL!$H$448:$H$480,B122:B532,[1]GL!$J$448:$J$487)</f>
        <v>0</v>
      </c>
      <c r="U122" s="100">
        <f>SUMIF([1]GL!$H$448:$H$480,B122:B532,[1]GL!$K$448:$K$487)</f>
        <v>0</v>
      </c>
      <c r="V122" s="102"/>
      <c r="W122" s="100"/>
      <c r="X122" s="101"/>
      <c r="Y122" s="353"/>
    </row>
    <row r="123" spans="1:25" s="344" customFormat="1" ht="15.75" hidden="1" customHeight="1">
      <c r="A123" s="419" t="s">
        <v>593</v>
      </c>
      <c r="B123" s="423">
        <v>341</v>
      </c>
      <c r="C123" s="420"/>
      <c r="D123" s="420"/>
      <c r="E123" s="420">
        <f>+M123-K123</f>
        <v>0</v>
      </c>
      <c r="F123" s="650">
        <v>0</v>
      </c>
      <c r="G123" s="651"/>
      <c r="H123" s="593">
        <v>0</v>
      </c>
      <c r="I123" s="98">
        <f t="shared" si="5"/>
        <v>0</v>
      </c>
      <c r="J123" s="98">
        <f t="shared" si="5"/>
        <v>0</v>
      </c>
      <c r="K123" s="96">
        <f t="shared" si="6"/>
        <v>0</v>
      </c>
      <c r="L123" s="96"/>
      <c r="M123" s="96">
        <f t="shared" si="7"/>
        <v>0</v>
      </c>
      <c r="N123" s="107">
        <f>SUMIF([1]CRJ!$H$880:$H$894,B123:B528,[1]CRJ!$J$880:$J$894)</f>
        <v>0</v>
      </c>
      <c r="O123" s="100">
        <f>SUMIF([1]CRJ!$H$880:$H$894,B123:B528,[1]CRJ!$K$880:$K$894)</f>
        <v>0</v>
      </c>
      <c r="P123" s="100">
        <f>SUMIF([1]ChkDJ!$H$849:$H$867,B123:B528,[1]ChkDJ!$J$849:$J$867)</f>
        <v>0</v>
      </c>
      <c r="Q123" s="100">
        <f>SUMIF([1]ChkDJ!$H$849:$H$867,B123:B528,[1]ChkDJ!$K$849:$K$867)</f>
        <v>0</v>
      </c>
      <c r="R123" s="100">
        <f>SUMIF([1]CDJ!$H$190:$H$197,B123:B528,[1]CDJ!$J$190:$J$197)</f>
        <v>0</v>
      </c>
      <c r="S123" s="100">
        <f>SUMIF([1]CDJ!$H$190:$H$197,B123:B528,[1]CDJ!$K$190:$K$197)</f>
        <v>0</v>
      </c>
      <c r="T123" s="102">
        <f>SUMIF([1]GL!$H$448:$H$480,B123:B533,[1]GL!$J$448:$J$487)</f>
        <v>0</v>
      </c>
      <c r="U123" s="100">
        <f>SUMIF([1]GL!$H$448:$H$480,B123:B533,[1]GL!$K$448:$K$487)</f>
        <v>0</v>
      </c>
      <c r="V123" s="102"/>
      <c r="W123" s="100"/>
      <c r="X123" s="101"/>
      <c r="Y123" s="353"/>
    </row>
    <row r="124" spans="1:25" s="344" customFormat="1" ht="15.75" hidden="1" customHeight="1">
      <c r="A124" s="419" t="s">
        <v>594</v>
      </c>
      <c r="B124" s="423">
        <v>244</v>
      </c>
      <c r="C124" s="420">
        <f>+K124-M124</f>
        <v>0</v>
      </c>
      <c r="D124" s="420"/>
      <c r="E124" s="420"/>
      <c r="F124" s="650">
        <v>0</v>
      </c>
      <c r="G124" s="651"/>
      <c r="H124" s="593">
        <v>0</v>
      </c>
      <c r="I124" s="98">
        <f t="shared" si="5"/>
        <v>0</v>
      </c>
      <c r="J124" s="98">
        <f t="shared" si="5"/>
        <v>0</v>
      </c>
      <c r="K124" s="96">
        <f t="shared" si="6"/>
        <v>0</v>
      </c>
      <c r="L124" s="96"/>
      <c r="M124" s="96">
        <f t="shared" si="7"/>
        <v>0</v>
      </c>
      <c r="N124" s="107">
        <f>SUMIF([1]CRJ!$H$880:$H$894,B124:B529,[1]CRJ!$J$880:$J$894)</f>
        <v>0</v>
      </c>
      <c r="O124" s="100">
        <f>SUMIF([1]CRJ!$H$880:$H$894,B124:B529,[1]CRJ!$K$880:$K$894)</f>
        <v>0</v>
      </c>
      <c r="P124" s="100">
        <f>SUMIF([1]ChkDJ!$H$849:$H$867,B124:B529,[1]ChkDJ!$J$849:$J$867)</f>
        <v>0</v>
      </c>
      <c r="Q124" s="100">
        <f>SUMIF([1]ChkDJ!$H$849:$H$867,B124:B529,[1]ChkDJ!$K$849:$K$867)</f>
        <v>0</v>
      </c>
      <c r="R124" s="100">
        <f>SUMIF([1]CDJ!$H$190:$H$197,B124:B529,[1]CDJ!$J$190:$J$197)</f>
        <v>0</v>
      </c>
      <c r="S124" s="100">
        <f>SUMIF([1]CDJ!$H$190:$H$197,B124:B529,[1]CDJ!$K$190:$K$197)</f>
        <v>0</v>
      </c>
      <c r="T124" s="102">
        <f>SUMIF([1]GL!$H$448:$H$480,B124:B534,[1]GL!$J$448:$J$487)</f>
        <v>0</v>
      </c>
      <c r="U124" s="100">
        <f>SUMIF([1]GL!$H$448:$H$480,B124:B534,[1]GL!$K$448:$K$487)</f>
        <v>0</v>
      </c>
      <c r="V124" s="102"/>
      <c r="W124" s="100"/>
      <c r="X124" s="101"/>
      <c r="Y124" s="353"/>
    </row>
    <row r="125" spans="1:25" s="344" customFormat="1" ht="15.75" hidden="1" customHeight="1">
      <c r="A125" s="419" t="s">
        <v>595</v>
      </c>
      <c r="B125" s="423">
        <v>344</v>
      </c>
      <c r="C125" s="420"/>
      <c r="D125" s="420"/>
      <c r="E125" s="420">
        <f>+M125-K125</f>
        <v>0</v>
      </c>
      <c r="F125" s="650">
        <v>0</v>
      </c>
      <c r="G125" s="651"/>
      <c r="H125" s="593">
        <v>0</v>
      </c>
      <c r="I125" s="98">
        <f t="shared" si="5"/>
        <v>0</v>
      </c>
      <c r="J125" s="98">
        <f t="shared" si="5"/>
        <v>0</v>
      </c>
      <c r="K125" s="96">
        <f t="shared" si="6"/>
        <v>0</v>
      </c>
      <c r="L125" s="96"/>
      <c r="M125" s="96">
        <f t="shared" si="7"/>
        <v>0</v>
      </c>
      <c r="N125" s="107">
        <f>SUMIF([1]CRJ!$H$880:$H$894,B125:B530,[1]CRJ!$J$880:$J$894)</f>
        <v>0</v>
      </c>
      <c r="O125" s="100">
        <f>SUMIF([1]CRJ!$H$880:$H$894,B125:B530,[1]CRJ!$K$880:$K$894)</f>
        <v>0</v>
      </c>
      <c r="P125" s="100">
        <f>SUMIF([1]ChkDJ!$H$849:$H$867,B125:B530,[1]ChkDJ!$J$849:$J$867)</f>
        <v>0</v>
      </c>
      <c r="Q125" s="100">
        <f>SUMIF([1]ChkDJ!$H$849:$H$867,B125:B530,[1]ChkDJ!$K$849:$K$867)</f>
        <v>0</v>
      </c>
      <c r="R125" s="100">
        <f>SUMIF([1]CDJ!$H$190:$H$197,B125:B530,[1]CDJ!$J$190:$J$197)</f>
        <v>0</v>
      </c>
      <c r="S125" s="100">
        <f>SUMIF([1]CDJ!$H$190:$H$197,B125:B530,[1]CDJ!$K$190:$K$197)</f>
        <v>0</v>
      </c>
      <c r="T125" s="102">
        <f>SUMIF([1]GL!$H$448:$H$480,B125:B535,[1]GL!$J$448:$J$487)</f>
        <v>0</v>
      </c>
      <c r="U125" s="100">
        <f>SUMIF([1]GL!$H$448:$H$480,B125:B535,[1]GL!$K$448:$K$487)</f>
        <v>0</v>
      </c>
      <c r="V125" s="102"/>
      <c r="W125" s="100"/>
      <c r="X125" s="101"/>
      <c r="Y125" s="353"/>
    </row>
    <row r="126" spans="1:25" s="344" customFormat="1" ht="15.75" hidden="1" customHeight="1">
      <c r="A126" s="419" t="s">
        <v>596</v>
      </c>
      <c r="B126" s="423">
        <v>248</v>
      </c>
      <c r="C126" s="420">
        <f>+K126-M126</f>
        <v>0</v>
      </c>
      <c r="D126" s="420"/>
      <c r="E126" s="420"/>
      <c r="F126" s="650">
        <v>0</v>
      </c>
      <c r="G126" s="651"/>
      <c r="H126" s="593">
        <v>0</v>
      </c>
      <c r="I126" s="98">
        <f t="shared" si="5"/>
        <v>0</v>
      </c>
      <c r="J126" s="98">
        <f t="shared" si="5"/>
        <v>0</v>
      </c>
      <c r="K126" s="96">
        <f t="shared" si="6"/>
        <v>0</v>
      </c>
      <c r="L126" s="96"/>
      <c r="M126" s="96">
        <f t="shared" si="7"/>
        <v>0</v>
      </c>
      <c r="N126" s="107">
        <f>SUMIF([1]CRJ!$H$880:$H$894,B126:B531,[1]CRJ!$J$880:$J$894)</f>
        <v>0</v>
      </c>
      <c r="O126" s="100">
        <f>SUMIF([1]CRJ!$H$880:$H$894,B126:B531,[1]CRJ!$K$880:$K$894)</f>
        <v>0</v>
      </c>
      <c r="P126" s="100">
        <f>SUMIF([1]ChkDJ!$H$849:$H$867,B126:B531,[1]ChkDJ!$J$849:$J$867)</f>
        <v>0</v>
      </c>
      <c r="Q126" s="100">
        <f>SUMIF([1]ChkDJ!$H$849:$H$867,B126:B531,[1]ChkDJ!$K$849:$K$867)</f>
        <v>0</v>
      </c>
      <c r="R126" s="100">
        <f>SUMIF([1]CDJ!$H$190:$H$197,B126:B531,[1]CDJ!$J$190:$J$197)</f>
        <v>0</v>
      </c>
      <c r="S126" s="100">
        <f>SUMIF([1]CDJ!$H$190:$H$197,B126:B531,[1]CDJ!$K$190:$K$197)</f>
        <v>0</v>
      </c>
      <c r="T126" s="102">
        <f>SUMIF([1]GL!$H$448:$H$480,B126:B536,[1]GL!$J$448:$J$487)</f>
        <v>0</v>
      </c>
      <c r="U126" s="100">
        <f>SUMIF([1]GL!$H$448:$H$480,B126:B536,[1]GL!$K$448:$K$487)</f>
        <v>0</v>
      </c>
      <c r="V126" s="102"/>
      <c r="W126" s="100"/>
      <c r="X126" s="101"/>
      <c r="Y126" s="353"/>
    </row>
    <row r="127" spans="1:25" s="344" customFormat="1" ht="15.75" hidden="1" customHeight="1">
      <c r="A127" s="419" t="s">
        <v>597</v>
      </c>
      <c r="B127" s="423">
        <v>348</v>
      </c>
      <c r="C127" s="420"/>
      <c r="D127" s="420"/>
      <c r="E127" s="420">
        <f>+M127-K127</f>
        <v>0</v>
      </c>
      <c r="F127" s="650">
        <v>0</v>
      </c>
      <c r="G127" s="651"/>
      <c r="H127" s="593">
        <v>0</v>
      </c>
      <c r="I127" s="98">
        <f t="shared" si="5"/>
        <v>0</v>
      </c>
      <c r="J127" s="98">
        <f t="shared" si="5"/>
        <v>0</v>
      </c>
      <c r="K127" s="96">
        <f t="shared" si="6"/>
        <v>0</v>
      </c>
      <c r="L127" s="96"/>
      <c r="M127" s="96">
        <f t="shared" si="7"/>
        <v>0</v>
      </c>
      <c r="N127" s="107">
        <f>SUMIF([1]CRJ!$H$880:$H$894,B127:B532,[1]CRJ!$J$880:$J$894)</f>
        <v>0</v>
      </c>
      <c r="O127" s="100">
        <f>SUMIF([1]CRJ!$H$880:$H$894,B127:B532,[1]CRJ!$K$880:$K$894)</f>
        <v>0</v>
      </c>
      <c r="P127" s="100">
        <f>SUMIF([1]ChkDJ!$H$849:$H$867,B127:B532,[1]ChkDJ!$J$849:$J$867)</f>
        <v>0</v>
      </c>
      <c r="Q127" s="100">
        <f>SUMIF([1]ChkDJ!$H$849:$H$867,B127:B532,[1]ChkDJ!$K$849:$K$867)</f>
        <v>0</v>
      </c>
      <c r="R127" s="100">
        <f>SUMIF([1]CDJ!$H$190:$H$197,B127:B532,[1]CDJ!$J$190:$J$197)</f>
        <v>0</v>
      </c>
      <c r="S127" s="100">
        <f>SUMIF([1]CDJ!$H$190:$H$197,B127:B532,[1]CDJ!$K$190:$K$197)</f>
        <v>0</v>
      </c>
      <c r="T127" s="102">
        <f>SUMIF([1]GL!$H$448:$H$480,B127:B537,[1]GL!$J$448:$J$487)</f>
        <v>0</v>
      </c>
      <c r="U127" s="100">
        <f>SUMIF([1]GL!$H$448:$H$480,B127:B537,[1]GL!$K$448:$K$487)</f>
        <v>0</v>
      </c>
      <c r="V127" s="102"/>
      <c r="W127" s="100"/>
      <c r="X127" s="101"/>
      <c r="Y127" s="353"/>
    </row>
    <row r="128" spans="1:25" ht="15.75">
      <c r="A128" s="93" t="s">
        <v>36</v>
      </c>
      <c r="B128" s="513">
        <v>250</v>
      </c>
      <c r="C128" s="94">
        <f t="shared" si="3"/>
        <v>1001240.8</v>
      </c>
      <c r="D128" s="94"/>
      <c r="E128" s="95"/>
      <c r="F128" s="653">
        <v>1001240.8</v>
      </c>
      <c r="G128" s="98"/>
      <c r="H128" s="96">
        <v>0</v>
      </c>
      <c r="I128" s="98">
        <f t="shared" si="5"/>
        <v>0</v>
      </c>
      <c r="J128" s="98">
        <f t="shared" si="5"/>
        <v>0</v>
      </c>
      <c r="K128" s="96">
        <f t="shared" si="6"/>
        <v>1001240.8</v>
      </c>
      <c r="L128" s="96"/>
      <c r="M128" s="96">
        <f t="shared" si="7"/>
        <v>0</v>
      </c>
      <c r="N128" s="107">
        <f>SUMIF([1]CRJ!$H$880:$H$894,B128:B533,[1]CRJ!$J$880:$J$894)</f>
        <v>0</v>
      </c>
      <c r="O128" s="100">
        <f>SUMIF([1]CRJ!$H$880:$H$894,B128:B533,[1]CRJ!$K$880:$K$894)</f>
        <v>0</v>
      </c>
      <c r="P128" s="100">
        <f>SUMIF([1]ChkDJ!$H$849:$H$867,B128:B533,[1]ChkDJ!$J$849:$J$867)</f>
        <v>0</v>
      </c>
      <c r="Q128" s="100">
        <f>SUMIF([1]ChkDJ!$H$849:$H$867,B128:B533,[1]ChkDJ!$K$849:$K$867)</f>
        <v>0</v>
      </c>
      <c r="R128" s="100">
        <f>SUMIF([1]CDJ!$H$190:$H$197,B128:B533,[1]CDJ!$J$190:$J$197)</f>
        <v>0</v>
      </c>
      <c r="S128" s="100">
        <f>SUMIF([1]CDJ!$H$190:$H$197,B128:B533,[1]CDJ!$K$190:$K$197)</f>
        <v>0</v>
      </c>
      <c r="T128" s="102">
        <f>SUMIF([1]GL!$H$448:$H$480,B128:B538,[1]GL!$J$448:$J$487)</f>
        <v>0</v>
      </c>
      <c r="U128" s="100">
        <f>SUMIF([1]GL!$H$448:$H$480,B128:B538,[1]GL!$K$448:$K$487)</f>
        <v>0</v>
      </c>
      <c r="V128" s="102"/>
      <c r="W128" s="100"/>
      <c r="X128" s="101"/>
      <c r="Y128" s="353"/>
    </row>
    <row r="129" spans="1:25" ht="15.75">
      <c r="A129" s="93" t="s">
        <v>295</v>
      </c>
      <c r="B129" s="513">
        <v>350</v>
      </c>
      <c r="C129" s="94"/>
      <c r="D129" s="94"/>
      <c r="E129" s="94">
        <f>+M129-K129</f>
        <v>15027</v>
      </c>
      <c r="F129" s="653">
        <v>0</v>
      </c>
      <c r="G129" s="98"/>
      <c r="H129" s="96">
        <v>13983</v>
      </c>
      <c r="I129" s="98">
        <f t="shared" si="5"/>
        <v>0</v>
      </c>
      <c r="J129" s="98">
        <f t="shared" si="5"/>
        <v>1044</v>
      </c>
      <c r="K129" s="96">
        <f t="shared" si="6"/>
        <v>0</v>
      </c>
      <c r="L129" s="96"/>
      <c r="M129" s="96">
        <f t="shared" si="7"/>
        <v>15027</v>
      </c>
      <c r="N129" s="107">
        <f>SUMIF([1]CRJ!$H$880:$H$894,B129:B534,[1]CRJ!$J$880:$J$894)</f>
        <v>0</v>
      </c>
      <c r="O129" s="100">
        <f>SUMIF([1]CRJ!$H$880:$H$894,B129:B534,[1]CRJ!$K$880:$K$894)</f>
        <v>0</v>
      </c>
      <c r="P129" s="100">
        <f>SUMIF([1]ChkDJ!$H$849:$H$867,B129:B534,[1]ChkDJ!$J$849:$J$867)</f>
        <v>0</v>
      </c>
      <c r="Q129" s="100">
        <f>SUMIF([1]ChkDJ!$H$849:$H$867,B129:B534,[1]ChkDJ!$K$849:$K$867)</f>
        <v>0</v>
      </c>
      <c r="R129" s="100">
        <f>SUMIF([1]CDJ!$H$190:$H$197,B129:B534,[1]CDJ!$J$190:$J$197)</f>
        <v>0</v>
      </c>
      <c r="S129" s="100">
        <f>SUMIF([1]CDJ!$H$190:$H$197,B129:B534,[1]CDJ!$K$190:$K$197)</f>
        <v>0</v>
      </c>
      <c r="T129" s="102">
        <f>SUMIF([1]GL!$H$448:$H$480,B129:B539,[1]GL!$J$448:$J$487)</f>
        <v>0</v>
      </c>
      <c r="U129" s="100">
        <f>SUMIF([1]GL!$H$448:$H$480,B129:B539,[1]GL!$K$448:$K$487)</f>
        <v>1044</v>
      </c>
      <c r="V129" s="102"/>
      <c r="W129" s="100"/>
      <c r="X129" s="101"/>
      <c r="Y129" s="353"/>
    </row>
    <row r="130" spans="1:25" s="344" customFormat="1" ht="15.75" hidden="1" customHeight="1">
      <c r="A130" s="419" t="s">
        <v>598</v>
      </c>
      <c r="B130" s="423">
        <v>251</v>
      </c>
      <c r="C130" s="420">
        <f>+K130-M130</f>
        <v>0</v>
      </c>
      <c r="D130" s="420"/>
      <c r="E130" s="420"/>
      <c r="F130" s="650">
        <v>0</v>
      </c>
      <c r="G130" s="651"/>
      <c r="H130" s="593">
        <v>0</v>
      </c>
      <c r="I130" s="98">
        <f t="shared" si="5"/>
        <v>0</v>
      </c>
      <c r="J130" s="98">
        <f t="shared" si="5"/>
        <v>0</v>
      </c>
      <c r="K130" s="96">
        <f t="shared" si="6"/>
        <v>0</v>
      </c>
      <c r="L130" s="96"/>
      <c r="M130" s="96">
        <f t="shared" si="7"/>
        <v>0</v>
      </c>
      <c r="N130" s="107">
        <f>SUMIF([1]CRJ!$H$880:$H$894,B130:B535,[1]CRJ!$J$880:$J$894)</f>
        <v>0</v>
      </c>
      <c r="O130" s="100">
        <f>SUMIF([1]CRJ!$H$880:$H$894,B130:B535,[1]CRJ!$K$880:$K$894)</f>
        <v>0</v>
      </c>
      <c r="P130" s="100">
        <f>SUMIF([1]ChkDJ!$H$849:$H$867,B130:B535,[1]ChkDJ!$J$849:$J$867)</f>
        <v>0</v>
      </c>
      <c r="Q130" s="100">
        <f>SUMIF([1]ChkDJ!$H$849:$H$867,B130:B535,[1]ChkDJ!$K$849:$K$867)</f>
        <v>0</v>
      </c>
      <c r="R130" s="100">
        <f>SUMIF([1]CDJ!$H$190:$H$197,B130:B535,[1]CDJ!$J$190:$J$197)</f>
        <v>0</v>
      </c>
      <c r="S130" s="100">
        <f>SUMIF([1]CDJ!$H$190:$H$197,B130:B535,[1]CDJ!$K$190:$K$197)</f>
        <v>0</v>
      </c>
      <c r="T130" s="102">
        <f>SUMIF([1]GL!$H$448:$H$480,B130:B540,[1]GL!$J$448:$J$487)</f>
        <v>0</v>
      </c>
      <c r="U130" s="100">
        <f>SUMIF([1]GL!$H$448:$H$480,B130:B540,[1]GL!$K$448:$K$487)</f>
        <v>0</v>
      </c>
      <c r="V130" s="102"/>
      <c r="W130" s="100"/>
      <c r="X130" s="101"/>
      <c r="Y130" s="353"/>
    </row>
    <row r="131" spans="1:25" s="344" customFormat="1" ht="15.75" hidden="1" customHeight="1">
      <c r="A131" s="419" t="s">
        <v>599</v>
      </c>
      <c r="B131" s="423">
        <v>252</v>
      </c>
      <c r="C131" s="420">
        <f t="shared" ref="C131:C144" si="8">+K131-M131</f>
        <v>0</v>
      </c>
      <c r="D131" s="420"/>
      <c r="E131" s="420"/>
      <c r="F131" s="650">
        <v>0</v>
      </c>
      <c r="G131" s="651"/>
      <c r="H131" s="593">
        <v>0</v>
      </c>
      <c r="I131" s="98">
        <f t="shared" si="5"/>
        <v>0</v>
      </c>
      <c r="J131" s="98">
        <f t="shared" si="5"/>
        <v>0</v>
      </c>
      <c r="K131" s="96">
        <f t="shared" si="6"/>
        <v>0</v>
      </c>
      <c r="L131" s="96"/>
      <c r="M131" s="96">
        <f t="shared" si="7"/>
        <v>0</v>
      </c>
      <c r="N131" s="107">
        <f>SUMIF([1]CRJ!$H$880:$H$894,B131:B536,[1]CRJ!$J$880:$J$894)</f>
        <v>0</v>
      </c>
      <c r="O131" s="100">
        <f>SUMIF([1]CRJ!$H$880:$H$894,B131:B536,[1]CRJ!$K$880:$K$894)</f>
        <v>0</v>
      </c>
      <c r="P131" s="100">
        <f>SUMIF([1]ChkDJ!$H$849:$H$867,B131:B536,[1]ChkDJ!$J$849:$J$867)</f>
        <v>0</v>
      </c>
      <c r="Q131" s="100">
        <f>SUMIF([1]ChkDJ!$H$849:$H$867,B131:B536,[1]ChkDJ!$K$849:$K$867)</f>
        <v>0</v>
      </c>
      <c r="R131" s="100">
        <f>SUMIF([1]CDJ!$H$190:$H$197,B131:B536,[1]CDJ!$J$190:$J$197)</f>
        <v>0</v>
      </c>
      <c r="S131" s="100">
        <f>SUMIF([1]CDJ!$H$190:$H$197,B131:B536,[1]CDJ!$K$190:$K$197)</f>
        <v>0</v>
      </c>
      <c r="T131" s="102">
        <f>SUMIF([1]GL!$H$448:$H$480,B131:B541,[1]GL!$J$448:$J$487)</f>
        <v>0</v>
      </c>
      <c r="U131" s="100">
        <f>SUMIF([1]GL!$H$448:$H$480,B131:B541,[1]GL!$K$448:$K$487)</f>
        <v>0</v>
      </c>
      <c r="V131" s="102"/>
      <c r="W131" s="100"/>
      <c r="X131" s="101"/>
      <c r="Y131" s="353"/>
    </row>
    <row r="132" spans="1:25" s="344" customFormat="1" ht="15.75" hidden="1" customHeight="1">
      <c r="A132" s="419" t="s">
        <v>600</v>
      </c>
      <c r="B132" s="423">
        <v>253</v>
      </c>
      <c r="C132" s="420">
        <f t="shared" si="8"/>
        <v>0</v>
      </c>
      <c r="D132" s="420"/>
      <c r="E132" s="420"/>
      <c r="F132" s="650">
        <v>0</v>
      </c>
      <c r="G132" s="651"/>
      <c r="H132" s="593">
        <v>0</v>
      </c>
      <c r="I132" s="98">
        <f t="shared" si="5"/>
        <v>0</v>
      </c>
      <c r="J132" s="98">
        <f t="shared" si="5"/>
        <v>0</v>
      </c>
      <c r="K132" s="96">
        <f t="shared" si="6"/>
        <v>0</v>
      </c>
      <c r="L132" s="96"/>
      <c r="M132" s="96">
        <f t="shared" si="7"/>
        <v>0</v>
      </c>
      <c r="N132" s="107">
        <f>SUMIF([1]CRJ!$H$880:$H$894,B132:B537,[1]CRJ!$J$880:$J$894)</f>
        <v>0</v>
      </c>
      <c r="O132" s="100">
        <f>SUMIF([1]CRJ!$H$880:$H$894,B132:B537,[1]CRJ!$K$880:$K$894)</f>
        <v>0</v>
      </c>
      <c r="P132" s="100">
        <f>SUMIF([1]ChkDJ!$H$849:$H$867,B132:B537,[1]ChkDJ!$J$849:$J$867)</f>
        <v>0</v>
      </c>
      <c r="Q132" s="100">
        <f>SUMIF([1]ChkDJ!$H$849:$H$867,B132:B537,[1]ChkDJ!$K$849:$K$867)</f>
        <v>0</v>
      </c>
      <c r="R132" s="100">
        <f>SUMIF([1]CDJ!$H$190:$H$197,B132:B537,[1]CDJ!$J$190:$J$197)</f>
        <v>0</v>
      </c>
      <c r="S132" s="100">
        <f>SUMIF([1]CDJ!$H$190:$H$197,B132:B537,[1]CDJ!$K$190:$K$197)</f>
        <v>0</v>
      </c>
      <c r="T132" s="102">
        <f>SUMIF([1]GL!$H$448:$H$480,B132:B542,[1]GL!$J$448:$J$487)</f>
        <v>0</v>
      </c>
      <c r="U132" s="100">
        <f>SUMIF([1]GL!$H$448:$H$480,B132:B542,[1]GL!$K$448:$K$487)</f>
        <v>0</v>
      </c>
      <c r="V132" s="102"/>
      <c r="W132" s="100"/>
      <c r="X132" s="101"/>
      <c r="Y132" s="353"/>
    </row>
    <row r="133" spans="1:25" ht="15.75" hidden="1" customHeight="1">
      <c r="A133" s="93" t="s">
        <v>37</v>
      </c>
      <c r="B133" s="513">
        <v>254</v>
      </c>
      <c r="C133" s="420">
        <f t="shared" si="8"/>
        <v>0</v>
      </c>
      <c r="D133" s="420"/>
      <c r="E133" s="95"/>
      <c r="F133" s="653">
        <v>0</v>
      </c>
      <c r="G133" s="98"/>
      <c r="H133" s="96">
        <v>0</v>
      </c>
      <c r="I133" s="98">
        <f t="shared" si="5"/>
        <v>0</v>
      </c>
      <c r="J133" s="98">
        <f t="shared" si="5"/>
        <v>0</v>
      </c>
      <c r="K133" s="96">
        <f t="shared" si="6"/>
        <v>0</v>
      </c>
      <c r="L133" s="96"/>
      <c r="M133" s="96">
        <f t="shared" si="7"/>
        <v>0</v>
      </c>
      <c r="N133" s="107">
        <f>SUMIF([1]CRJ!$H$880:$H$894,B133:B538,[1]CRJ!$J$880:$J$894)</f>
        <v>0</v>
      </c>
      <c r="O133" s="100">
        <f>SUMIF([1]CRJ!$H$880:$H$894,B133:B538,[1]CRJ!$K$880:$K$894)</f>
        <v>0</v>
      </c>
      <c r="P133" s="100">
        <f>SUMIF([1]ChkDJ!$H$849:$H$867,B133:B538,[1]ChkDJ!$J$849:$J$867)</f>
        <v>0</v>
      </c>
      <c r="Q133" s="100">
        <f>SUMIF([1]ChkDJ!$H$849:$H$867,B133:B538,[1]ChkDJ!$K$849:$K$867)</f>
        <v>0</v>
      </c>
      <c r="R133" s="100">
        <f>SUMIF([1]CDJ!$H$190:$H$197,B133:B538,[1]CDJ!$J$190:$J$197)</f>
        <v>0</v>
      </c>
      <c r="S133" s="100">
        <f>SUMIF([1]CDJ!$H$190:$H$197,B133:B538,[1]CDJ!$K$190:$K$197)</f>
        <v>0</v>
      </c>
      <c r="T133" s="102">
        <f>SUMIF([1]GL!$H$448:$H$480,B133:B543,[1]GL!$J$448:$J$487)</f>
        <v>0</v>
      </c>
      <c r="U133" s="100">
        <f>SUMIF([1]GL!$H$448:$H$480,B133:B543,[1]GL!$K$448:$K$487)</f>
        <v>0</v>
      </c>
      <c r="V133" s="102"/>
      <c r="W133" s="100"/>
      <c r="X133" s="101"/>
      <c r="Y133" s="353"/>
    </row>
    <row r="134" spans="1:25" s="344" customFormat="1" ht="15.75" hidden="1" customHeight="1">
      <c r="A134" s="419" t="s">
        <v>601</v>
      </c>
      <c r="B134" s="423">
        <v>255</v>
      </c>
      <c r="C134" s="420">
        <f t="shared" si="8"/>
        <v>0</v>
      </c>
      <c r="D134" s="420"/>
      <c r="E134" s="420"/>
      <c r="F134" s="650">
        <v>0</v>
      </c>
      <c r="G134" s="651"/>
      <c r="H134" s="593">
        <v>0</v>
      </c>
      <c r="I134" s="98">
        <f t="shared" si="5"/>
        <v>0</v>
      </c>
      <c r="J134" s="98">
        <f t="shared" si="5"/>
        <v>0</v>
      </c>
      <c r="K134" s="96">
        <f t="shared" si="6"/>
        <v>0</v>
      </c>
      <c r="L134" s="96"/>
      <c r="M134" s="96">
        <f t="shared" si="7"/>
        <v>0</v>
      </c>
      <c r="N134" s="107">
        <f>SUMIF([1]CRJ!$H$880:$H$894,B134:B539,[1]CRJ!$J$880:$J$894)</f>
        <v>0</v>
      </c>
      <c r="O134" s="100">
        <f>SUMIF([1]CRJ!$H$880:$H$894,B134:B539,[1]CRJ!$K$880:$K$894)</f>
        <v>0</v>
      </c>
      <c r="P134" s="100">
        <f>SUMIF([1]ChkDJ!$H$849:$H$867,B134:B539,[1]ChkDJ!$J$849:$J$867)</f>
        <v>0</v>
      </c>
      <c r="Q134" s="100">
        <f>SUMIF([1]ChkDJ!$H$849:$H$867,B134:B539,[1]ChkDJ!$K$849:$K$867)</f>
        <v>0</v>
      </c>
      <c r="R134" s="100">
        <f>SUMIF([1]CDJ!$H$190:$H$197,B134:B539,[1]CDJ!$J$190:$J$197)</f>
        <v>0</v>
      </c>
      <c r="S134" s="100">
        <f>SUMIF([1]CDJ!$H$190:$H$197,B134:B539,[1]CDJ!$K$190:$K$197)</f>
        <v>0</v>
      </c>
      <c r="T134" s="102">
        <f>SUMIF([1]GL!$H$448:$H$480,B134:B544,[1]GL!$J$448:$J$487)</f>
        <v>0</v>
      </c>
      <c r="U134" s="100">
        <f>SUMIF([1]GL!$H$448:$H$480,B134:B544,[1]GL!$K$448:$K$487)</f>
        <v>0</v>
      </c>
      <c r="V134" s="102"/>
      <c r="W134" s="100"/>
      <c r="X134" s="101"/>
      <c r="Y134" s="353"/>
    </row>
    <row r="135" spans="1:25" s="344" customFormat="1" ht="15.75" hidden="1" customHeight="1">
      <c r="A135" s="419" t="s">
        <v>602</v>
      </c>
      <c r="B135" s="423">
        <v>256</v>
      </c>
      <c r="C135" s="420">
        <f t="shared" si="8"/>
        <v>0</v>
      </c>
      <c r="D135" s="420"/>
      <c r="E135" s="420"/>
      <c r="F135" s="650">
        <v>0</v>
      </c>
      <c r="G135" s="651"/>
      <c r="H135" s="593">
        <v>0</v>
      </c>
      <c r="I135" s="98">
        <f t="shared" si="5"/>
        <v>0</v>
      </c>
      <c r="J135" s="98">
        <f t="shared" si="5"/>
        <v>0</v>
      </c>
      <c r="K135" s="96">
        <f t="shared" si="6"/>
        <v>0</v>
      </c>
      <c r="L135" s="96"/>
      <c r="M135" s="96">
        <f t="shared" si="7"/>
        <v>0</v>
      </c>
      <c r="N135" s="107">
        <f>SUMIF([1]CRJ!$H$880:$H$894,B135:B540,[1]CRJ!$J$880:$J$894)</f>
        <v>0</v>
      </c>
      <c r="O135" s="100">
        <f>SUMIF([1]CRJ!$H$880:$H$894,B135:B540,[1]CRJ!$K$880:$K$894)</f>
        <v>0</v>
      </c>
      <c r="P135" s="100">
        <f>SUMIF([1]ChkDJ!$H$849:$H$867,B135:B540,[1]ChkDJ!$J$849:$J$867)</f>
        <v>0</v>
      </c>
      <c r="Q135" s="100">
        <f>SUMIF([1]ChkDJ!$H$849:$H$867,B135:B540,[1]ChkDJ!$K$849:$K$867)</f>
        <v>0</v>
      </c>
      <c r="R135" s="100">
        <f>SUMIF([1]CDJ!$H$190:$H$197,B135:B540,[1]CDJ!$J$190:$J$197)</f>
        <v>0</v>
      </c>
      <c r="S135" s="100">
        <f>SUMIF([1]CDJ!$H$190:$H$197,B135:B540,[1]CDJ!$K$190:$K$197)</f>
        <v>0</v>
      </c>
      <c r="T135" s="102">
        <f>SUMIF([1]GL!$H$448:$H$480,B135:B545,[1]GL!$J$448:$J$487)</f>
        <v>0</v>
      </c>
      <c r="U135" s="100">
        <f>SUMIF([1]GL!$H$448:$H$480,B135:B545,[1]GL!$K$448:$K$487)</f>
        <v>0</v>
      </c>
      <c r="V135" s="102"/>
      <c r="W135" s="100"/>
      <c r="X135" s="101"/>
      <c r="Y135" s="353"/>
    </row>
    <row r="136" spans="1:25" s="344" customFormat="1" ht="15.75" hidden="1" customHeight="1">
      <c r="A136" s="419" t="s">
        <v>603</v>
      </c>
      <c r="B136" s="423">
        <v>257</v>
      </c>
      <c r="C136" s="420">
        <f t="shared" si="8"/>
        <v>0</v>
      </c>
      <c r="D136" s="420"/>
      <c r="E136" s="420"/>
      <c r="F136" s="650">
        <v>0</v>
      </c>
      <c r="G136" s="651"/>
      <c r="H136" s="593">
        <v>0</v>
      </c>
      <c r="I136" s="98">
        <f t="shared" si="5"/>
        <v>0</v>
      </c>
      <c r="J136" s="98">
        <f t="shared" si="5"/>
        <v>0</v>
      </c>
      <c r="K136" s="96">
        <f t="shared" si="6"/>
        <v>0</v>
      </c>
      <c r="L136" s="96"/>
      <c r="M136" s="96">
        <f t="shared" si="7"/>
        <v>0</v>
      </c>
      <c r="N136" s="107">
        <f>SUMIF([1]CRJ!$H$880:$H$894,B136:B541,[1]CRJ!$J$880:$J$894)</f>
        <v>0</v>
      </c>
      <c r="O136" s="100">
        <f>SUMIF([1]CRJ!$H$880:$H$894,B136:B541,[1]CRJ!$K$880:$K$894)</f>
        <v>0</v>
      </c>
      <c r="P136" s="100">
        <f>SUMIF([1]ChkDJ!$H$849:$H$867,B136:B541,[1]ChkDJ!$J$849:$J$867)</f>
        <v>0</v>
      </c>
      <c r="Q136" s="100">
        <f>SUMIF([1]ChkDJ!$H$849:$H$867,B136:B541,[1]ChkDJ!$K$849:$K$867)</f>
        <v>0</v>
      </c>
      <c r="R136" s="100">
        <f>SUMIF([1]CDJ!$H$190:$H$197,B136:B541,[1]CDJ!$J$190:$J$197)</f>
        <v>0</v>
      </c>
      <c r="S136" s="100">
        <f>SUMIF([1]CDJ!$H$190:$H$197,B136:B541,[1]CDJ!$K$190:$K$197)</f>
        <v>0</v>
      </c>
      <c r="T136" s="102">
        <f>SUMIF([1]GL!$H$448:$H$480,B136:B546,[1]GL!$J$448:$J$487)</f>
        <v>0</v>
      </c>
      <c r="U136" s="100">
        <f>SUMIF([1]GL!$H$448:$H$480,B136:B546,[1]GL!$K$448:$K$487)</f>
        <v>0</v>
      </c>
      <c r="V136" s="102"/>
      <c r="W136" s="100"/>
      <c r="X136" s="101"/>
      <c r="Y136" s="353"/>
    </row>
    <row r="137" spans="1:25" s="344" customFormat="1" ht="15.75" hidden="1" customHeight="1">
      <c r="A137" s="419" t="s">
        <v>604</v>
      </c>
      <c r="B137" s="423">
        <v>260</v>
      </c>
      <c r="C137" s="420">
        <f t="shared" si="8"/>
        <v>0</v>
      </c>
      <c r="D137" s="420"/>
      <c r="E137" s="420"/>
      <c r="F137" s="650">
        <v>0</v>
      </c>
      <c r="G137" s="651"/>
      <c r="H137" s="593">
        <v>0</v>
      </c>
      <c r="I137" s="98">
        <f t="shared" ref="I137:J200" si="9">+N137+P137+R137+T137+V137+X137</f>
        <v>0</v>
      </c>
      <c r="J137" s="98">
        <f t="shared" si="9"/>
        <v>0</v>
      </c>
      <c r="K137" s="96">
        <f t="shared" si="6"/>
        <v>0</v>
      </c>
      <c r="L137" s="96"/>
      <c r="M137" s="96">
        <f t="shared" si="7"/>
        <v>0</v>
      </c>
      <c r="N137" s="107">
        <f>SUMIF([1]CRJ!$H$880:$H$894,B137:B542,[1]CRJ!$J$880:$J$894)</f>
        <v>0</v>
      </c>
      <c r="O137" s="100">
        <f>SUMIF([1]CRJ!$H$880:$H$894,B137:B542,[1]CRJ!$K$880:$K$894)</f>
        <v>0</v>
      </c>
      <c r="P137" s="100">
        <f>SUMIF([1]ChkDJ!$H$849:$H$867,B137:B542,[1]ChkDJ!$J$849:$J$867)</f>
        <v>0</v>
      </c>
      <c r="Q137" s="100">
        <f>SUMIF([1]ChkDJ!$H$849:$H$867,B137:B542,[1]ChkDJ!$K$849:$K$867)</f>
        <v>0</v>
      </c>
      <c r="R137" s="100">
        <f>SUMIF([1]CDJ!$H$190:$H$197,B137:B542,[1]CDJ!$J$190:$J$197)</f>
        <v>0</v>
      </c>
      <c r="S137" s="100">
        <f>SUMIF([1]CDJ!$H$190:$H$197,B137:B542,[1]CDJ!$K$190:$K$197)</f>
        <v>0</v>
      </c>
      <c r="T137" s="102">
        <f>SUMIF([1]GL!$H$448:$H$480,B137:B547,[1]GL!$J$448:$J$487)</f>
        <v>0</v>
      </c>
      <c r="U137" s="100">
        <f>SUMIF([1]GL!$H$448:$H$480,B137:B547,[1]GL!$K$448:$K$487)</f>
        <v>0</v>
      </c>
      <c r="V137" s="102"/>
      <c r="W137" s="100"/>
      <c r="X137" s="101"/>
      <c r="Y137" s="353"/>
    </row>
    <row r="138" spans="1:25" s="344" customFormat="1" ht="15.75" hidden="1" customHeight="1">
      <c r="A138" s="419" t="s">
        <v>605</v>
      </c>
      <c r="B138" s="423">
        <v>261</v>
      </c>
      <c r="C138" s="420">
        <f t="shared" si="8"/>
        <v>0</v>
      </c>
      <c r="D138" s="420"/>
      <c r="E138" s="420"/>
      <c r="F138" s="650">
        <v>0</v>
      </c>
      <c r="G138" s="651"/>
      <c r="H138" s="593">
        <v>0</v>
      </c>
      <c r="I138" s="98">
        <f t="shared" si="9"/>
        <v>0</v>
      </c>
      <c r="J138" s="98">
        <f t="shared" si="9"/>
        <v>0</v>
      </c>
      <c r="K138" s="96">
        <f t="shared" ref="K138:K202" si="10">+F138+I138</f>
        <v>0</v>
      </c>
      <c r="L138" s="96"/>
      <c r="M138" s="96">
        <f t="shared" si="7"/>
        <v>0</v>
      </c>
      <c r="N138" s="107">
        <f>SUMIF([1]CRJ!$H$880:$H$894,B138:B543,[1]CRJ!$J$880:$J$894)</f>
        <v>0</v>
      </c>
      <c r="O138" s="100">
        <f>SUMIF([1]CRJ!$H$880:$H$894,B138:B543,[1]CRJ!$K$880:$K$894)</f>
        <v>0</v>
      </c>
      <c r="P138" s="100">
        <f>SUMIF([1]ChkDJ!$H$849:$H$867,B138:B543,[1]ChkDJ!$J$849:$J$867)</f>
        <v>0</v>
      </c>
      <c r="Q138" s="100">
        <f>SUMIF([1]ChkDJ!$H$849:$H$867,B138:B543,[1]ChkDJ!$K$849:$K$867)</f>
        <v>0</v>
      </c>
      <c r="R138" s="100">
        <f>SUMIF([1]CDJ!$H$190:$H$197,B138:B543,[1]CDJ!$J$190:$J$197)</f>
        <v>0</v>
      </c>
      <c r="S138" s="100">
        <f>SUMIF([1]CDJ!$H$190:$H$197,B138:B543,[1]CDJ!$K$190:$K$197)</f>
        <v>0</v>
      </c>
      <c r="T138" s="102">
        <f>SUMIF([1]GL!$H$448:$H$480,B138:B548,[1]GL!$J$448:$J$487)</f>
        <v>0</v>
      </c>
      <c r="U138" s="100">
        <f>SUMIF([1]GL!$H$448:$H$480,B138:B548,[1]GL!$K$448:$K$487)</f>
        <v>0</v>
      </c>
      <c r="V138" s="102"/>
      <c r="W138" s="100"/>
      <c r="X138" s="101"/>
      <c r="Y138" s="353"/>
    </row>
    <row r="139" spans="1:25" s="344" customFormat="1" ht="15.75" hidden="1" customHeight="1">
      <c r="A139" s="419" t="s">
        <v>606</v>
      </c>
      <c r="B139" s="423">
        <v>262</v>
      </c>
      <c r="C139" s="420">
        <f t="shared" si="8"/>
        <v>0</v>
      </c>
      <c r="D139" s="420"/>
      <c r="E139" s="420"/>
      <c r="F139" s="650">
        <v>0</v>
      </c>
      <c r="G139" s="651"/>
      <c r="H139" s="593">
        <v>0</v>
      </c>
      <c r="I139" s="98">
        <f t="shared" si="9"/>
        <v>0</v>
      </c>
      <c r="J139" s="98">
        <f t="shared" si="9"/>
        <v>0</v>
      </c>
      <c r="K139" s="96">
        <f t="shared" si="10"/>
        <v>0</v>
      </c>
      <c r="L139" s="96"/>
      <c r="M139" s="96">
        <f t="shared" ref="M139:M204" si="11">+H139+J139</f>
        <v>0</v>
      </c>
      <c r="N139" s="107">
        <f>SUMIF([1]CRJ!$H$880:$H$894,B139:B544,[1]CRJ!$J$880:$J$894)</f>
        <v>0</v>
      </c>
      <c r="O139" s="100">
        <f>SUMIF([1]CRJ!$H$880:$H$894,B139:B544,[1]CRJ!$K$880:$K$894)</f>
        <v>0</v>
      </c>
      <c r="P139" s="100">
        <f>SUMIF([1]ChkDJ!$H$849:$H$867,B139:B544,[1]ChkDJ!$J$849:$J$867)</f>
        <v>0</v>
      </c>
      <c r="Q139" s="100">
        <f>SUMIF([1]ChkDJ!$H$849:$H$867,B139:B544,[1]ChkDJ!$K$849:$K$867)</f>
        <v>0</v>
      </c>
      <c r="R139" s="100">
        <f>SUMIF([1]CDJ!$H$190:$H$197,B139:B544,[1]CDJ!$J$190:$J$197)</f>
        <v>0</v>
      </c>
      <c r="S139" s="100">
        <f>SUMIF([1]CDJ!$H$190:$H$197,B139:B544,[1]CDJ!$K$190:$K$197)</f>
        <v>0</v>
      </c>
      <c r="T139" s="102">
        <f>SUMIF([1]GL!$H$448:$H$480,B139:B549,[1]GL!$J$448:$J$487)</f>
        <v>0</v>
      </c>
      <c r="U139" s="100">
        <f>SUMIF([1]GL!$H$448:$H$480,B139:B549,[1]GL!$K$448:$K$487)</f>
        <v>0</v>
      </c>
      <c r="V139" s="102"/>
      <c r="W139" s="100"/>
      <c r="X139" s="101"/>
      <c r="Y139" s="353"/>
    </row>
    <row r="140" spans="1:25" ht="15.75" customHeight="1">
      <c r="A140" s="93" t="s">
        <v>349</v>
      </c>
      <c r="B140" s="513">
        <v>264</v>
      </c>
      <c r="C140" s="420">
        <f t="shared" si="8"/>
        <v>1418390.8900000006</v>
      </c>
      <c r="D140" s="420"/>
      <c r="E140" s="95"/>
      <c r="F140" s="653">
        <v>6684799.5499999998</v>
      </c>
      <c r="G140" s="98"/>
      <c r="H140" s="96">
        <v>5664393.709999999</v>
      </c>
      <c r="I140" s="98">
        <f t="shared" si="9"/>
        <v>397985.05</v>
      </c>
      <c r="J140" s="98">
        <f t="shared" si="9"/>
        <v>0</v>
      </c>
      <c r="K140" s="96">
        <f t="shared" si="10"/>
        <v>7082784.5999999996</v>
      </c>
      <c r="L140" s="96"/>
      <c r="M140" s="96">
        <f t="shared" si="11"/>
        <v>5664393.709999999</v>
      </c>
      <c r="N140" s="107">
        <f>SUMIF([1]CRJ!$H$880:$H$894,B140:B545,[1]CRJ!$J$880:$J$894)</f>
        <v>0</v>
      </c>
      <c r="O140" s="100">
        <f>SUMIF([1]CRJ!$H$880:$H$894,B140:B545,[1]CRJ!$K$880:$K$894)</f>
        <v>0</v>
      </c>
      <c r="P140" s="100">
        <f>SUMIF([1]ChkDJ!$H$849:$H$867,B140:B545,[1]ChkDJ!$J$849:$J$867)</f>
        <v>397985.05</v>
      </c>
      <c r="Q140" s="100">
        <f>SUMIF([1]ChkDJ!$H$849:$H$867,B140:B545,[1]ChkDJ!$K$849:$K$867)</f>
        <v>0</v>
      </c>
      <c r="R140" s="100">
        <f>SUMIF([1]CDJ!$H$190:$H$197,B140:B545,[1]CDJ!$J$190:$J$197)</f>
        <v>0</v>
      </c>
      <c r="S140" s="100">
        <f>SUMIF([1]CDJ!$H$190:$H$197,B140:B545,[1]CDJ!$K$190:$K$197)</f>
        <v>0</v>
      </c>
      <c r="T140" s="102">
        <f>SUMIF([1]GL!$H$448:$H$480,B140:B550,[1]GL!$J$448:$J$487)</f>
        <v>0</v>
      </c>
      <c r="U140" s="100">
        <f>SUMIF([1]GL!$H$448:$H$480,B140:B550,[1]GL!$K$448:$K$487)</f>
        <v>0</v>
      </c>
      <c r="V140" s="102"/>
      <c r="W140" s="100"/>
      <c r="X140" s="101"/>
      <c r="Y140" s="353"/>
    </row>
    <row r="141" spans="1:25" s="350" customFormat="1" ht="15.75" hidden="1" customHeight="1">
      <c r="A141" s="419" t="s">
        <v>607</v>
      </c>
      <c r="B141" s="423">
        <v>266</v>
      </c>
      <c r="C141" s="420">
        <f t="shared" si="8"/>
        <v>0</v>
      </c>
      <c r="D141" s="420"/>
      <c r="E141" s="420"/>
      <c r="F141" s="650">
        <v>0</v>
      </c>
      <c r="G141" s="651"/>
      <c r="H141" s="593">
        <v>0</v>
      </c>
      <c r="I141" s="98">
        <f t="shared" si="9"/>
        <v>0</v>
      </c>
      <c r="J141" s="98">
        <f t="shared" si="9"/>
        <v>0</v>
      </c>
      <c r="K141" s="96">
        <f t="shared" si="10"/>
        <v>0</v>
      </c>
      <c r="L141" s="96"/>
      <c r="M141" s="96">
        <f t="shared" si="11"/>
        <v>0</v>
      </c>
      <c r="N141" s="107">
        <f>SUMIF([1]CRJ!$H$880:$H$894,B141:B546,[1]CRJ!$J$880:$J$894)</f>
        <v>0</v>
      </c>
      <c r="O141" s="100">
        <f>SUMIF([1]CRJ!$H$880:$H$894,B141:B546,[1]CRJ!$K$880:$K$894)</f>
        <v>0</v>
      </c>
      <c r="P141" s="100">
        <f>SUMIF([1]ChkDJ!$H$849:$H$867,B141:B546,[1]ChkDJ!$J$849:$J$867)</f>
        <v>0</v>
      </c>
      <c r="Q141" s="100">
        <f>SUMIF([1]ChkDJ!$H$849:$H$867,B141:B546,[1]ChkDJ!$K$849:$K$867)</f>
        <v>0</v>
      </c>
      <c r="R141" s="100">
        <f>SUMIF([1]CDJ!$H$190:$H$197,B141:B546,[1]CDJ!$J$190:$J$197)</f>
        <v>0</v>
      </c>
      <c r="S141" s="100">
        <f>SUMIF([1]CDJ!$H$190:$H$197,B141:B546,[1]CDJ!$K$190:$K$197)</f>
        <v>0</v>
      </c>
      <c r="T141" s="102">
        <f>SUMIF([1]GL!$H$448:$H$480,B141:B551,[1]GL!$J$448:$J$487)</f>
        <v>0</v>
      </c>
      <c r="U141" s="100">
        <f>SUMIF([1]GL!$H$448:$H$480,B141:B551,[1]GL!$K$448:$K$487)</f>
        <v>0</v>
      </c>
      <c r="V141" s="102"/>
      <c r="W141" s="100"/>
      <c r="X141" s="101"/>
      <c r="Y141" s="353"/>
    </row>
    <row r="142" spans="1:25" s="344" customFormat="1" ht="15.75" hidden="1" customHeight="1">
      <c r="A142" s="419" t="s">
        <v>608</v>
      </c>
      <c r="B142" s="423">
        <v>267</v>
      </c>
      <c r="C142" s="420">
        <f>+K142-M142</f>
        <v>0</v>
      </c>
      <c r="D142" s="420"/>
      <c r="E142" s="420"/>
      <c r="F142" s="650">
        <v>0</v>
      </c>
      <c r="G142" s="651"/>
      <c r="H142" s="593">
        <v>0</v>
      </c>
      <c r="I142" s="98">
        <f t="shared" si="9"/>
        <v>0</v>
      </c>
      <c r="J142" s="98">
        <f t="shared" si="9"/>
        <v>0</v>
      </c>
      <c r="K142" s="96">
        <f t="shared" si="10"/>
        <v>0</v>
      </c>
      <c r="L142" s="96"/>
      <c r="M142" s="96">
        <f t="shared" si="11"/>
        <v>0</v>
      </c>
      <c r="N142" s="107">
        <f>SUMIF([1]CRJ!$H$880:$H$894,B142:B547,[1]CRJ!$J$880:$J$894)</f>
        <v>0</v>
      </c>
      <c r="O142" s="100">
        <f>SUMIF([1]CRJ!$H$880:$H$894,B142:B547,[1]CRJ!$K$880:$K$894)</f>
        <v>0</v>
      </c>
      <c r="P142" s="100">
        <f>SUMIF([1]ChkDJ!$H$849:$H$867,B142:B547,[1]ChkDJ!$J$849:$J$867)</f>
        <v>0</v>
      </c>
      <c r="Q142" s="100">
        <f>SUMIF([1]ChkDJ!$H$849:$H$867,B142:B547,[1]ChkDJ!$K$849:$K$867)</f>
        <v>0</v>
      </c>
      <c r="R142" s="100">
        <f>SUMIF([1]CDJ!$H$190:$H$197,B142:B547,[1]CDJ!$J$190:$J$197)</f>
        <v>0</v>
      </c>
      <c r="S142" s="100">
        <f>SUMIF([1]CDJ!$H$190:$H$197,B142:B547,[1]CDJ!$K$190:$K$197)</f>
        <v>0</v>
      </c>
      <c r="T142" s="102">
        <f>SUMIF([1]GL!$H$448:$H$480,B142:B552,[1]GL!$J$448:$J$487)</f>
        <v>0</v>
      </c>
      <c r="U142" s="100">
        <f>SUMIF([1]GL!$H$448:$H$480,B142:B552,[1]GL!$K$448:$K$487)</f>
        <v>0</v>
      </c>
      <c r="V142" s="102"/>
      <c r="W142" s="100"/>
      <c r="X142" s="101"/>
      <c r="Y142" s="353"/>
    </row>
    <row r="143" spans="1:25" s="344" customFormat="1" ht="15.75" hidden="1" customHeight="1">
      <c r="A143" s="419" t="s">
        <v>609</v>
      </c>
      <c r="B143" s="423">
        <v>268</v>
      </c>
      <c r="C143" s="420">
        <f t="shared" si="8"/>
        <v>0</v>
      </c>
      <c r="D143" s="420"/>
      <c r="E143" s="420"/>
      <c r="F143" s="650">
        <v>0</v>
      </c>
      <c r="G143" s="651"/>
      <c r="H143" s="593">
        <v>0</v>
      </c>
      <c r="I143" s="98">
        <f t="shared" si="9"/>
        <v>0</v>
      </c>
      <c r="J143" s="98">
        <f t="shared" si="9"/>
        <v>0</v>
      </c>
      <c r="K143" s="96">
        <f t="shared" si="10"/>
        <v>0</v>
      </c>
      <c r="L143" s="96"/>
      <c r="M143" s="96">
        <f t="shared" si="11"/>
        <v>0</v>
      </c>
      <c r="N143" s="107">
        <f>SUMIF([1]CRJ!$H$880:$H$894,B143:B548,[1]CRJ!$J$880:$J$894)</f>
        <v>0</v>
      </c>
      <c r="O143" s="100">
        <f>SUMIF([1]CRJ!$H$880:$H$894,B143:B548,[1]CRJ!$K$880:$K$894)</f>
        <v>0</v>
      </c>
      <c r="P143" s="100">
        <f>SUMIF([1]ChkDJ!$H$849:$H$867,B143:B548,[1]ChkDJ!$J$849:$J$867)</f>
        <v>0</v>
      </c>
      <c r="Q143" s="100">
        <f>SUMIF([1]ChkDJ!$H$849:$H$867,B143:B548,[1]ChkDJ!$K$849:$K$867)</f>
        <v>0</v>
      </c>
      <c r="R143" s="100">
        <f>SUMIF([1]CDJ!$H$190:$H$197,B143:B548,[1]CDJ!$J$190:$J$197)</f>
        <v>0</v>
      </c>
      <c r="S143" s="100">
        <f>SUMIF([1]CDJ!$H$190:$H$197,B143:B548,[1]CDJ!$K$190:$K$197)</f>
        <v>0</v>
      </c>
      <c r="T143" s="102">
        <f>SUMIF([1]GL!$H$448:$H$480,B143:B553,[1]GL!$J$448:$J$487)</f>
        <v>0</v>
      </c>
      <c r="U143" s="100">
        <f>SUMIF([1]GL!$H$448:$H$480,B143:B553,[1]GL!$K$448:$K$487)</f>
        <v>0</v>
      </c>
      <c r="V143" s="102"/>
      <c r="W143" s="100"/>
      <c r="X143" s="101"/>
      <c r="Y143" s="353"/>
    </row>
    <row r="144" spans="1:25" s="350" customFormat="1" ht="31.5" hidden="1" customHeight="1">
      <c r="A144" s="422" t="s">
        <v>610</v>
      </c>
      <c r="B144" s="423">
        <v>269</v>
      </c>
      <c r="C144" s="420">
        <f t="shared" si="8"/>
        <v>0</v>
      </c>
      <c r="D144" s="420"/>
      <c r="E144" s="420"/>
      <c r="F144" s="650">
        <v>0</v>
      </c>
      <c r="G144" s="651"/>
      <c r="H144" s="593">
        <v>0</v>
      </c>
      <c r="I144" s="98">
        <f t="shared" si="9"/>
        <v>0</v>
      </c>
      <c r="J144" s="98">
        <f t="shared" si="9"/>
        <v>0</v>
      </c>
      <c r="K144" s="96">
        <f t="shared" si="10"/>
        <v>0</v>
      </c>
      <c r="L144" s="96"/>
      <c r="M144" s="96">
        <f t="shared" si="11"/>
        <v>0</v>
      </c>
      <c r="N144" s="107">
        <f>SUMIF([1]CRJ!$H$880:$H$894,B144:B549,[1]CRJ!$J$880:$J$894)</f>
        <v>0</v>
      </c>
      <c r="O144" s="100">
        <f>SUMIF([1]CRJ!$H$880:$H$894,B144:B549,[1]CRJ!$K$880:$K$894)</f>
        <v>0</v>
      </c>
      <c r="P144" s="100">
        <f>SUMIF([1]ChkDJ!$H$849:$H$867,B144:B549,[1]ChkDJ!$J$849:$J$867)</f>
        <v>0</v>
      </c>
      <c r="Q144" s="100">
        <f>SUMIF([1]ChkDJ!$H$849:$H$867,B144:B549,[1]ChkDJ!$K$849:$K$867)</f>
        <v>0</v>
      </c>
      <c r="R144" s="100">
        <f>SUMIF([1]CDJ!$H$190:$H$197,B144:B549,[1]CDJ!$J$190:$J$197)</f>
        <v>0</v>
      </c>
      <c r="S144" s="100">
        <f>SUMIF([1]CDJ!$H$190:$H$197,B144:B549,[1]CDJ!$K$190:$K$197)</f>
        <v>0</v>
      </c>
      <c r="T144" s="102">
        <f>SUMIF([1]GL!$H$448:$H$480,B144:B554,[1]GL!$J$448:$J$487)</f>
        <v>0</v>
      </c>
      <c r="U144" s="100">
        <f>SUMIF([1]GL!$H$448:$H$480,B144:B554,[1]GL!$K$448:$K$487)</f>
        <v>0</v>
      </c>
      <c r="V144" s="102"/>
      <c r="W144" s="100"/>
      <c r="X144" s="101"/>
      <c r="Y144" s="353"/>
    </row>
    <row r="145" spans="1:25" s="350" customFormat="1" ht="15.75" hidden="1" customHeight="1">
      <c r="A145" s="419" t="s">
        <v>611</v>
      </c>
      <c r="B145" s="423">
        <v>270</v>
      </c>
      <c r="C145" s="420">
        <f>+K145-M145</f>
        <v>0</v>
      </c>
      <c r="D145" s="420"/>
      <c r="E145" s="420"/>
      <c r="F145" s="650">
        <v>0</v>
      </c>
      <c r="G145" s="651"/>
      <c r="H145" s="593">
        <v>0</v>
      </c>
      <c r="I145" s="98">
        <f t="shared" si="9"/>
        <v>0</v>
      </c>
      <c r="J145" s="98">
        <f t="shared" si="9"/>
        <v>0</v>
      </c>
      <c r="K145" s="96">
        <f t="shared" si="10"/>
        <v>0</v>
      </c>
      <c r="L145" s="96"/>
      <c r="M145" s="96">
        <f t="shared" si="11"/>
        <v>0</v>
      </c>
      <c r="N145" s="107">
        <f>SUMIF([1]CRJ!$H$880:$H$894,B145:B550,[1]CRJ!$J$880:$J$894)</f>
        <v>0</v>
      </c>
      <c r="O145" s="100">
        <f>SUMIF([1]CRJ!$H$880:$H$894,B145:B550,[1]CRJ!$K$880:$K$894)</f>
        <v>0</v>
      </c>
      <c r="P145" s="100">
        <f>SUMIF([1]ChkDJ!$H$849:$H$867,B145:B550,[1]ChkDJ!$J$849:$J$867)</f>
        <v>0</v>
      </c>
      <c r="Q145" s="100">
        <f>SUMIF([1]ChkDJ!$H$849:$H$867,B145:B550,[1]ChkDJ!$K$849:$K$867)</f>
        <v>0</v>
      </c>
      <c r="R145" s="100">
        <f>SUMIF([1]CDJ!$H$190:$H$197,B145:B550,[1]CDJ!$J$190:$J$197)</f>
        <v>0</v>
      </c>
      <c r="S145" s="100">
        <f>SUMIF([1]CDJ!$H$190:$H$197,B145:B550,[1]CDJ!$K$190:$K$197)</f>
        <v>0</v>
      </c>
      <c r="T145" s="102">
        <f>SUMIF([1]GL!$H$448:$H$480,B145:B555,[1]GL!$J$448:$J$487)</f>
        <v>0</v>
      </c>
      <c r="U145" s="100">
        <f>SUMIF([1]GL!$H$448:$H$480,B145:B555,[1]GL!$K$448:$K$487)</f>
        <v>0</v>
      </c>
      <c r="V145" s="102"/>
      <c r="W145" s="100"/>
      <c r="X145" s="101"/>
      <c r="Y145" s="353"/>
    </row>
    <row r="146" spans="1:25" s="350" customFormat="1" ht="15.75" hidden="1" customHeight="1">
      <c r="A146" s="419" t="s">
        <v>612</v>
      </c>
      <c r="B146" s="423">
        <v>271</v>
      </c>
      <c r="C146" s="420">
        <f>+K146-M146</f>
        <v>0</v>
      </c>
      <c r="D146" s="420"/>
      <c r="E146" s="420"/>
      <c r="F146" s="650">
        <v>0</v>
      </c>
      <c r="G146" s="651"/>
      <c r="H146" s="593">
        <v>0</v>
      </c>
      <c r="I146" s="98">
        <f t="shared" si="9"/>
        <v>0</v>
      </c>
      <c r="J146" s="98">
        <f t="shared" si="9"/>
        <v>0</v>
      </c>
      <c r="K146" s="96">
        <f t="shared" si="10"/>
        <v>0</v>
      </c>
      <c r="L146" s="96"/>
      <c r="M146" s="96">
        <f t="shared" si="11"/>
        <v>0</v>
      </c>
      <c r="N146" s="107">
        <f>SUMIF([1]CRJ!$H$880:$H$894,B146:B551,[1]CRJ!$J$880:$J$894)</f>
        <v>0</v>
      </c>
      <c r="O146" s="100">
        <f>SUMIF([1]CRJ!$H$880:$H$894,B146:B551,[1]CRJ!$K$880:$K$894)</f>
        <v>0</v>
      </c>
      <c r="P146" s="100">
        <f>SUMIF([1]ChkDJ!$H$849:$H$867,B146:B551,[1]ChkDJ!$J$849:$J$867)</f>
        <v>0</v>
      </c>
      <c r="Q146" s="100">
        <f>SUMIF([1]ChkDJ!$H$849:$H$867,B146:B551,[1]ChkDJ!$K$849:$K$867)</f>
        <v>0</v>
      </c>
      <c r="R146" s="100">
        <f>SUMIF([1]CDJ!$H$190:$H$197,B146:B551,[1]CDJ!$J$190:$J$197)</f>
        <v>0</v>
      </c>
      <c r="S146" s="100">
        <f>SUMIF([1]CDJ!$H$190:$H$197,B146:B551,[1]CDJ!$K$190:$K$197)</f>
        <v>0</v>
      </c>
      <c r="T146" s="102">
        <f>SUMIF([1]GL!$H$448:$H$480,B146:B556,[1]GL!$J$448:$J$487)</f>
        <v>0</v>
      </c>
      <c r="U146" s="100">
        <f>SUMIF([1]GL!$H$448:$H$480,B146:B556,[1]GL!$K$448:$K$487)</f>
        <v>0</v>
      </c>
      <c r="V146" s="102"/>
      <c r="W146" s="100"/>
      <c r="X146" s="101"/>
      <c r="Y146" s="353"/>
    </row>
    <row r="147" spans="1:25" s="350" customFormat="1" ht="15.75" hidden="1" customHeight="1">
      <c r="A147" s="419" t="s">
        <v>613</v>
      </c>
      <c r="B147" s="423">
        <v>272</v>
      </c>
      <c r="C147" s="420">
        <f>+K147-M147</f>
        <v>0</v>
      </c>
      <c r="D147" s="420"/>
      <c r="E147" s="420"/>
      <c r="F147" s="650">
        <v>0</v>
      </c>
      <c r="G147" s="651"/>
      <c r="H147" s="593">
        <v>0</v>
      </c>
      <c r="I147" s="98">
        <f t="shared" si="9"/>
        <v>0</v>
      </c>
      <c r="J147" s="98">
        <f t="shared" si="9"/>
        <v>0</v>
      </c>
      <c r="K147" s="96">
        <f t="shared" si="10"/>
        <v>0</v>
      </c>
      <c r="L147" s="96"/>
      <c r="M147" s="96">
        <f t="shared" si="11"/>
        <v>0</v>
      </c>
      <c r="N147" s="107">
        <f>SUMIF([1]CRJ!$H$880:$H$894,B147:B552,[1]CRJ!$J$880:$J$894)</f>
        <v>0</v>
      </c>
      <c r="O147" s="100">
        <f>SUMIF([1]CRJ!$H$880:$H$894,B147:B552,[1]CRJ!$K$880:$K$894)</f>
        <v>0</v>
      </c>
      <c r="P147" s="100">
        <f>SUMIF([1]ChkDJ!$H$849:$H$867,B147:B552,[1]ChkDJ!$J$849:$J$867)</f>
        <v>0</v>
      </c>
      <c r="Q147" s="100">
        <f>SUMIF([1]ChkDJ!$H$849:$H$867,B147:B552,[1]ChkDJ!$K$849:$K$867)</f>
        <v>0</v>
      </c>
      <c r="R147" s="100">
        <f>SUMIF([1]CDJ!$H$190:$H$197,B147:B552,[1]CDJ!$J$190:$J$197)</f>
        <v>0</v>
      </c>
      <c r="S147" s="100">
        <f>SUMIF([1]CDJ!$H$190:$H$197,B147:B552,[1]CDJ!$K$190:$K$197)</f>
        <v>0</v>
      </c>
      <c r="T147" s="102">
        <f>SUMIF([1]GL!$H$448:$H$480,B147:B557,[1]GL!$J$448:$J$487)</f>
        <v>0</v>
      </c>
      <c r="U147" s="100">
        <f>SUMIF([1]GL!$H$448:$H$480,B147:B557,[1]GL!$K$448:$K$487)</f>
        <v>0</v>
      </c>
      <c r="V147" s="102"/>
      <c r="W147" s="100"/>
      <c r="X147" s="101"/>
      <c r="Y147" s="353"/>
    </row>
    <row r="148" spans="1:25" s="350" customFormat="1" ht="15.75" hidden="1" customHeight="1">
      <c r="A148" s="419" t="s">
        <v>614</v>
      </c>
      <c r="B148" s="423">
        <v>273</v>
      </c>
      <c r="C148" s="420">
        <f>+K148-M148</f>
        <v>0</v>
      </c>
      <c r="D148" s="420"/>
      <c r="E148" s="420"/>
      <c r="F148" s="650">
        <v>0</v>
      </c>
      <c r="G148" s="651"/>
      <c r="H148" s="593">
        <v>0</v>
      </c>
      <c r="I148" s="98">
        <f t="shared" si="9"/>
        <v>0</v>
      </c>
      <c r="J148" s="98">
        <f t="shared" si="9"/>
        <v>0</v>
      </c>
      <c r="K148" s="96">
        <f t="shared" si="10"/>
        <v>0</v>
      </c>
      <c r="L148" s="96"/>
      <c r="M148" s="96">
        <f t="shared" si="11"/>
        <v>0</v>
      </c>
      <c r="N148" s="107">
        <f>SUMIF([1]CRJ!$H$880:$H$894,B148:B553,[1]CRJ!$J$880:$J$894)</f>
        <v>0</v>
      </c>
      <c r="O148" s="100">
        <f>SUMIF([1]CRJ!$H$880:$H$894,B148:B553,[1]CRJ!$K$880:$K$894)</f>
        <v>0</v>
      </c>
      <c r="P148" s="100">
        <f>SUMIF([1]ChkDJ!$H$849:$H$867,B148:B553,[1]ChkDJ!$J$849:$J$867)</f>
        <v>0</v>
      </c>
      <c r="Q148" s="100">
        <f>SUMIF([1]ChkDJ!$H$849:$H$867,B148:B553,[1]ChkDJ!$K$849:$K$867)</f>
        <v>0</v>
      </c>
      <c r="R148" s="100">
        <f>SUMIF([1]CDJ!$H$190:$H$197,B148:B553,[1]CDJ!$J$190:$J$197)</f>
        <v>0</v>
      </c>
      <c r="S148" s="100">
        <f>SUMIF([1]CDJ!$H$190:$H$197,B148:B553,[1]CDJ!$K$190:$K$197)</f>
        <v>0</v>
      </c>
      <c r="T148" s="102">
        <f>SUMIF([1]GL!$H$448:$H$480,B148:B558,[1]GL!$J$448:$J$487)</f>
        <v>0</v>
      </c>
      <c r="U148" s="100">
        <f>SUMIF([1]GL!$H$448:$H$480,B148:B558,[1]GL!$K$448:$K$487)</f>
        <v>0</v>
      </c>
      <c r="V148" s="102"/>
      <c r="W148" s="100"/>
      <c r="X148" s="101"/>
      <c r="Y148" s="353"/>
    </row>
    <row r="149" spans="1:25" s="350" customFormat="1" ht="15.75" hidden="1" customHeight="1">
      <c r="A149" s="419" t="s">
        <v>615</v>
      </c>
      <c r="B149" s="423">
        <v>274</v>
      </c>
      <c r="C149" s="420">
        <f t="shared" ref="C149:C155" si="12">+K149-M149</f>
        <v>0</v>
      </c>
      <c r="D149" s="420"/>
      <c r="E149" s="420"/>
      <c r="F149" s="650">
        <v>0</v>
      </c>
      <c r="G149" s="651"/>
      <c r="H149" s="593">
        <v>0</v>
      </c>
      <c r="I149" s="98">
        <f t="shared" si="9"/>
        <v>0</v>
      </c>
      <c r="J149" s="98">
        <f t="shared" si="9"/>
        <v>0</v>
      </c>
      <c r="K149" s="96">
        <f t="shared" si="10"/>
        <v>0</v>
      </c>
      <c r="L149" s="96"/>
      <c r="M149" s="96">
        <f t="shared" si="11"/>
        <v>0</v>
      </c>
      <c r="N149" s="107">
        <f>SUMIF([1]CRJ!$H$880:$H$894,B149:B554,[1]CRJ!$J$880:$J$894)</f>
        <v>0</v>
      </c>
      <c r="O149" s="100">
        <f>SUMIF([1]CRJ!$H$880:$H$894,B149:B554,[1]CRJ!$K$880:$K$894)</f>
        <v>0</v>
      </c>
      <c r="P149" s="100">
        <f>SUMIF([1]ChkDJ!$H$849:$H$867,B149:B554,[1]ChkDJ!$J$849:$J$867)</f>
        <v>0</v>
      </c>
      <c r="Q149" s="100">
        <f>SUMIF([1]ChkDJ!$H$849:$H$867,B149:B554,[1]ChkDJ!$K$849:$K$867)</f>
        <v>0</v>
      </c>
      <c r="R149" s="100">
        <f>SUMIF([1]CDJ!$H$190:$H$197,B149:B554,[1]CDJ!$J$190:$J$197)</f>
        <v>0</v>
      </c>
      <c r="S149" s="100">
        <f>SUMIF([1]CDJ!$H$190:$H$197,B149:B554,[1]CDJ!$K$190:$K$197)</f>
        <v>0</v>
      </c>
      <c r="T149" s="102">
        <f>SUMIF([1]GL!$H$448:$H$480,B149:B559,[1]GL!$J$448:$J$487)</f>
        <v>0</v>
      </c>
      <c r="U149" s="100">
        <f>SUMIF([1]GL!$H$448:$H$480,B149:B559,[1]GL!$K$448:$K$487)</f>
        <v>0</v>
      </c>
      <c r="V149" s="102"/>
      <c r="W149" s="100"/>
      <c r="X149" s="101"/>
      <c r="Y149" s="353"/>
    </row>
    <row r="150" spans="1:25" s="350" customFormat="1" ht="15.75" hidden="1" customHeight="1">
      <c r="A150" s="419" t="s">
        <v>616</v>
      </c>
      <c r="B150" s="423">
        <v>275</v>
      </c>
      <c r="C150" s="420">
        <f t="shared" si="12"/>
        <v>0</v>
      </c>
      <c r="D150" s="420"/>
      <c r="E150" s="420"/>
      <c r="F150" s="650">
        <v>0</v>
      </c>
      <c r="G150" s="651"/>
      <c r="H150" s="593">
        <v>0</v>
      </c>
      <c r="I150" s="98">
        <f t="shared" si="9"/>
        <v>0</v>
      </c>
      <c r="J150" s="98">
        <f t="shared" si="9"/>
        <v>0</v>
      </c>
      <c r="K150" s="96">
        <f t="shared" si="10"/>
        <v>0</v>
      </c>
      <c r="L150" s="96"/>
      <c r="M150" s="96">
        <f t="shared" si="11"/>
        <v>0</v>
      </c>
      <c r="N150" s="107">
        <f>SUMIF([1]CRJ!$H$880:$H$894,B150:B555,[1]CRJ!$J$880:$J$894)</f>
        <v>0</v>
      </c>
      <c r="O150" s="100">
        <f>SUMIF([1]CRJ!$H$880:$H$894,B150:B555,[1]CRJ!$K$880:$K$894)</f>
        <v>0</v>
      </c>
      <c r="P150" s="100">
        <f>SUMIF([1]ChkDJ!$H$849:$H$867,B150:B555,[1]ChkDJ!$J$849:$J$867)</f>
        <v>0</v>
      </c>
      <c r="Q150" s="100">
        <f>SUMIF([1]ChkDJ!$H$849:$H$867,B150:B555,[1]ChkDJ!$K$849:$K$867)</f>
        <v>0</v>
      </c>
      <c r="R150" s="100">
        <f>SUMIF([1]CDJ!$H$190:$H$197,B150:B555,[1]CDJ!$J$190:$J$197)</f>
        <v>0</v>
      </c>
      <c r="S150" s="100">
        <f>SUMIF([1]CDJ!$H$190:$H$197,B150:B555,[1]CDJ!$K$190:$K$197)</f>
        <v>0</v>
      </c>
      <c r="T150" s="102">
        <f>SUMIF([1]GL!$H$448:$H$480,B150:B560,[1]GL!$J$448:$J$487)</f>
        <v>0</v>
      </c>
      <c r="U150" s="100">
        <f>SUMIF([1]GL!$H$448:$H$480,B150:B560,[1]GL!$K$448:$K$487)</f>
        <v>0</v>
      </c>
      <c r="V150" s="102"/>
      <c r="W150" s="100"/>
      <c r="X150" s="101"/>
      <c r="Y150" s="353"/>
    </row>
    <row r="151" spans="1:25" s="350" customFormat="1" ht="15.75" hidden="1" customHeight="1">
      <c r="A151" s="419" t="s">
        <v>617</v>
      </c>
      <c r="B151" s="423">
        <v>281</v>
      </c>
      <c r="C151" s="420">
        <f t="shared" si="12"/>
        <v>0</v>
      </c>
      <c r="D151" s="420"/>
      <c r="E151" s="420"/>
      <c r="F151" s="650">
        <v>0</v>
      </c>
      <c r="G151" s="651"/>
      <c r="H151" s="593">
        <v>0</v>
      </c>
      <c r="I151" s="98">
        <f t="shared" si="9"/>
        <v>0</v>
      </c>
      <c r="J151" s="98">
        <f t="shared" si="9"/>
        <v>0</v>
      </c>
      <c r="K151" s="96">
        <f t="shared" si="10"/>
        <v>0</v>
      </c>
      <c r="L151" s="96"/>
      <c r="M151" s="96">
        <f t="shared" si="11"/>
        <v>0</v>
      </c>
      <c r="N151" s="107">
        <f>SUMIF([1]CRJ!$H$880:$H$894,B151:B556,[1]CRJ!$J$880:$J$894)</f>
        <v>0</v>
      </c>
      <c r="O151" s="100">
        <f>SUMIF([1]CRJ!$H$880:$H$894,B151:B556,[1]CRJ!$K$880:$K$894)</f>
        <v>0</v>
      </c>
      <c r="P151" s="100">
        <f>SUMIF([1]ChkDJ!$H$849:$H$867,B151:B556,[1]ChkDJ!$J$849:$J$867)</f>
        <v>0</v>
      </c>
      <c r="Q151" s="100">
        <f>SUMIF([1]ChkDJ!$H$849:$H$867,B151:B556,[1]ChkDJ!$K$849:$K$867)</f>
        <v>0</v>
      </c>
      <c r="R151" s="100">
        <f>SUMIF([1]CDJ!$H$190:$H$197,B151:B556,[1]CDJ!$J$190:$J$197)</f>
        <v>0</v>
      </c>
      <c r="S151" s="100">
        <f>SUMIF([1]CDJ!$H$190:$H$197,B151:B556,[1]CDJ!$K$190:$K$197)</f>
        <v>0</v>
      </c>
      <c r="T151" s="102">
        <f>SUMIF([1]GL!$H$448:$H$480,B151:B561,[1]GL!$J$448:$J$487)</f>
        <v>0</v>
      </c>
      <c r="U151" s="100">
        <f>SUMIF([1]GL!$H$448:$H$480,B151:B561,[1]GL!$K$448:$K$487)</f>
        <v>0</v>
      </c>
      <c r="V151" s="102"/>
      <c r="W151" s="100"/>
      <c r="X151" s="101"/>
      <c r="Y151" s="353"/>
    </row>
    <row r="152" spans="1:25" s="350" customFormat="1" ht="15.75" hidden="1" customHeight="1">
      <c r="A152" s="419" t="s">
        <v>618</v>
      </c>
      <c r="B152" s="423">
        <v>282</v>
      </c>
      <c r="C152" s="420">
        <f t="shared" si="12"/>
        <v>0</v>
      </c>
      <c r="D152" s="420"/>
      <c r="E152" s="420"/>
      <c r="F152" s="650">
        <v>0</v>
      </c>
      <c r="G152" s="651"/>
      <c r="H152" s="593">
        <v>0</v>
      </c>
      <c r="I152" s="98">
        <f t="shared" si="9"/>
        <v>0</v>
      </c>
      <c r="J152" s="98">
        <f t="shared" si="9"/>
        <v>0</v>
      </c>
      <c r="K152" s="96">
        <f t="shared" si="10"/>
        <v>0</v>
      </c>
      <c r="L152" s="96"/>
      <c r="M152" s="96">
        <f t="shared" si="11"/>
        <v>0</v>
      </c>
      <c r="N152" s="107">
        <f>SUMIF([1]CRJ!$H$880:$H$894,B152:B557,[1]CRJ!$J$880:$J$894)</f>
        <v>0</v>
      </c>
      <c r="O152" s="100">
        <f>SUMIF([1]CRJ!$H$880:$H$894,B152:B557,[1]CRJ!$K$880:$K$894)</f>
        <v>0</v>
      </c>
      <c r="P152" s="100">
        <f>SUMIF([1]ChkDJ!$H$849:$H$867,B152:B557,[1]ChkDJ!$J$849:$J$867)</f>
        <v>0</v>
      </c>
      <c r="Q152" s="100">
        <f>SUMIF([1]ChkDJ!$H$849:$H$867,B152:B557,[1]ChkDJ!$K$849:$K$867)</f>
        <v>0</v>
      </c>
      <c r="R152" s="100">
        <f>SUMIF([1]CDJ!$H$190:$H$197,B152:B557,[1]CDJ!$J$190:$J$197)</f>
        <v>0</v>
      </c>
      <c r="S152" s="100">
        <f>SUMIF([1]CDJ!$H$190:$H$197,B152:B557,[1]CDJ!$K$190:$K$197)</f>
        <v>0</v>
      </c>
      <c r="T152" s="102">
        <f>SUMIF([1]GL!$H$448:$H$480,B152:B562,[1]GL!$J$448:$J$487)</f>
        <v>0</v>
      </c>
      <c r="U152" s="100">
        <f>SUMIF([1]GL!$H$448:$H$480,B152:B562,[1]GL!$K$448:$K$487)</f>
        <v>0</v>
      </c>
      <c r="V152" s="102"/>
      <c r="W152" s="100"/>
      <c r="X152" s="101"/>
      <c r="Y152" s="353"/>
    </row>
    <row r="153" spans="1:25" s="350" customFormat="1" ht="15.75" hidden="1" customHeight="1">
      <c r="A153" s="419" t="s">
        <v>619</v>
      </c>
      <c r="B153" s="423">
        <v>283</v>
      </c>
      <c r="C153" s="420">
        <f t="shared" si="12"/>
        <v>0</v>
      </c>
      <c r="D153" s="420"/>
      <c r="E153" s="420"/>
      <c r="F153" s="650">
        <v>0</v>
      </c>
      <c r="G153" s="651"/>
      <c r="H153" s="593">
        <v>0</v>
      </c>
      <c r="I153" s="98">
        <f t="shared" si="9"/>
        <v>0</v>
      </c>
      <c r="J153" s="98">
        <f t="shared" si="9"/>
        <v>0</v>
      </c>
      <c r="K153" s="96">
        <f t="shared" si="10"/>
        <v>0</v>
      </c>
      <c r="L153" s="96"/>
      <c r="M153" s="96">
        <f t="shared" si="11"/>
        <v>0</v>
      </c>
      <c r="N153" s="107">
        <f>SUMIF([1]CRJ!$H$880:$H$894,B153:B558,[1]CRJ!$J$880:$J$894)</f>
        <v>0</v>
      </c>
      <c r="O153" s="100">
        <f>SUMIF([1]CRJ!$H$880:$H$894,B153:B558,[1]CRJ!$K$880:$K$894)</f>
        <v>0</v>
      </c>
      <c r="P153" s="100">
        <f>SUMIF([1]ChkDJ!$H$849:$H$867,B153:B558,[1]ChkDJ!$J$849:$J$867)</f>
        <v>0</v>
      </c>
      <c r="Q153" s="100">
        <f>SUMIF([1]ChkDJ!$H$849:$H$867,B153:B558,[1]ChkDJ!$K$849:$K$867)</f>
        <v>0</v>
      </c>
      <c r="R153" s="100">
        <f>SUMIF([1]CDJ!$H$190:$H$197,B153:B558,[1]CDJ!$J$190:$J$197)</f>
        <v>0</v>
      </c>
      <c r="S153" s="100">
        <f>SUMIF([1]CDJ!$H$190:$H$197,B153:B558,[1]CDJ!$K$190:$K$197)</f>
        <v>0</v>
      </c>
      <c r="T153" s="102">
        <f>SUMIF([1]GL!$H$448:$H$480,B153:B563,[1]GL!$J$448:$J$487)</f>
        <v>0</v>
      </c>
      <c r="U153" s="100">
        <f>SUMIF([1]GL!$H$448:$H$480,B153:B563,[1]GL!$K$448:$K$487)</f>
        <v>0</v>
      </c>
      <c r="V153" s="102"/>
      <c r="W153" s="100"/>
      <c r="X153" s="101"/>
      <c r="Y153" s="353"/>
    </row>
    <row r="154" spans="1:25" s="350" customFormat="1" ht="15.75" hidden="1" customHeight="1">
      <c r="A154" s="419" t="s">
        <v>620</v>
      </c>
      <c r="B154" s="423">
        <v>284</v>
      </c>
      <c r="C154" s="420">
        <f t="shared" si="12"/>
        <v>0</v>
      </c>
      <c r="D154" s="420"/>
      <c r="E154" s="420"/>
      <c r="F154" s="650">
        <v>0</v>
      </c>
      <c r="G154" s="651"/>
      <c r="H154" s="593">
        <v>0</v>
      </c>
      <c r="I154" s="98">
        <f t="shared" si="9"/>
        <v>0</v>
      </c>
      <c r="J154" s="98">
        <f t="shared" si="9"/>
        <v>0</v>
      </c>
      <c r="K154" s="96">
        <f t="shared" si="10"/>
        <v>0</v>
      </c>
      <c r="L154" s="96"/>
      <c r="M154" s="96">
        <f t="shared" si="11"/>
        <v>0</v>
      </c>
      <c r="N154" s="107">
        <f>SUMIF([1]CRJ!$H$880:$H$894,B154:B559,[1]CRJ!$J$880:$J$894)</f>
        <v>0</v>
      </c>
      <c r="O154" s="100">
        <f>SUMIF([1]CRJ!$H$880:$H$894,B154:B559,[1]CRJ!$K$880:$K$894)</f>
        <v>0</v>
      </c>
      <c r="P154" s="100">
        <f>SUMIF([1]ChkDJ!$H$849:$H$867,B154:B559,[1]ChkDJ!$J$849:$J$867)</f>
        <v>0</v>
      </c>
      <c r="Q154" s="100">
        <f>SUMIF([1]ChkDJ!$H$849:$H$867,B154:B559,[1]ChkDJ!$K$849:$K$867)</f>
        <v>0</v>
      </c>
      <c r="R154" s="100">
        <f>SUMIF([1]CDJ!$H$190:$H$197,B154:B559,[1]CDJ!$J$190:$J$197)</f>
        <v>0</v>
      </c>
      <c r="S154" s="100">
        <f>SUMIF([1]CDJ!$H$190:$H$197,B154:B559,[1]CDJ!$K$190:$K$197)</f>
        <v>0</v>
      </c>
      <c r="T154" s="102">
        <f>SUMIF([1]GL!$H$448:$H$480,B154:B564,[1]GL!$J$448:$J$487)</f>
        <v>0</v>
      </c>
      <c r="U154" s="100">
        <f>SUMIF([1]GL!$H$448:$H$480,B154:B564,[1]GL!$K$448:$K$487)</f>
        <v>0</v>
      </c>
      <c r="V154" s="102"/>
      <c r="W154" s="100"/>
      <c r="X154" s="101"/>
      <c r="Y154" s="353"/>
    </row>
    <row r="155" spans="1:25" s="350" customFormat="1" ht="15.75" customHeight="1">
      <c r="A155" s="419" t="s">
        <v>621</v>
      </c>
      <c r="B155" s="423">
        <v>290</v>
      </c>
      <c r="C155" s="420">
        <f t="shared" si="12"/>
        <v>173706</v>
      </c>
      <c r="D155" s="420"/>
      <c r="E155" s="420"/>
      <c r="F155" s="650">
        <v>173706</v>
      </c>
      <c r="G155" s="651"/>
      <c r="H155" s="593">
        <v>0</v>
      </c>
      <c r="I155" s="98">
        <f t="shared" si="9"/>
        <v>0</v>
      </c>
      <c r="J155" s="98">
        <f t="shared" si="9"/>
        <v>0</v>
      </c>
      <c r="K155" s="96">
        <f t="shared" si="10"/>
        <v>173706</v>
      </c>
      <c r="L155" s="96"/>
      <c r="M155" s="96">
        <f t="shared" si="11"/>
        <v>0</v>
      </c>
      <c r="N155" s="107">
        <f>SUMIF([1]CRJ!$H$880:$H$894,B155:B560,[1]CRJ!$J$880:$J$894)</f>
        <v>0</v>
      </c>
      <c r="O155" s="100">
        <f>SUMIF([1]CRJ!$H$880:$H$894,B155:B560,[1]CRJ!$K$880:$K$894)</f>
        <v>0</v>
      </c>
      <c r="P155" s="100">
        <f>SUMIF([1]ChkDJ!$H$849:$H$867,B155:B560,[1]ChkDJ!$J$849:$J$867)</f>
        <v>0</v>
      </c>
      <c r="Q155" s="100">
        <f>SUMIF([1]ChkDJ!$H$849:$H$867,B155:B560,[1]ChkDJ!$K$849:$K$867)</f>
        <v>0</v>
      </c>
      <c r="R155" s="100">
        <f>SUMIF([1]CDJ!$H$190:$H$197,B155:B560,[1]CDJ!$J$190:$J$197)</f>
        <v>0</v>
      </c>
      <c r="S155" s="100">
        <f>SUMIF([1]CDJ!$H$190:$H$197,B155:B560,[1]CDJ!$K$190:$K$197)</f>
        <v>0</v>
      </c>
      <c r="T155" s="102">
        <f>SUMIF([1]GL!$H$448:$H$480,B155:B565,[1]GL!$J$448:$J$487)</f>
        <v>0</v>
      </c>
      <c r="U155" s="100">
        <f>SUMIF([1]GL!$H$448:$H$480,B155:B565,[1]GL!$K$448:$K$487)</f>
        <v>0</v>
      </c>
      <c r="V155" s="102"/>
      <c r="W155" s="100"/>
      <c r="X155" s="101"/>
      <c r="Y155" s="353"/>
    </row>
    <row r="156" spans="1:25" s="105" customFormat="1" ht="15.75">
      <c r="A156" s="93" t="s">
        <v>38</v>
      </c>
      <c r="B156" s="513">
        <v>401</v>
      </c>
      <c r="C156" s="106"/>
      <c r="D156" s="106"/>
      <c r="E156" s="94">
        <f>+M156-K156</f>
        <v>246650.0000000007</v>
      </c>
      <c r="F156" s="653">
        <v>1130117.49</v>
      </c>
      <c r="G156" s="98"/>
      <c r="H156" s="99">
        <v>1376767.4900000007</v>
      </c>
      <c r="I156" s="98">
        <f t="shared" si="9"/>
        <v>0</v>
      </c>
      <c r="J156" s="98">
        <f t="shared" si="9"/>
        <v>0</v>
      </c>
      <c r="K156" s="96">
        <f t="shared" si="10"/>
        <v>1130117.49</v>
      </c>
      <c r="L156" s="96"/>
      <c r="M156" s="96">
        <f t="shared" si="11"/>
        <v>1376767.4900000007</v>
      </c>
      <c r="N156" s="107">
        <f>SUMIF([1]CRJ!$H$880:$H$894,B156:B561,[1]CRJ!$J$880:$J$894)</f>
        <v>0</v>
      </c>
      <c r="O156" s="100">
        <f>SUMIF([1]CRJ!$H$880:$H$894,B156:B561,[1]CRJ!$K$880:$K$894)</f>
        <v>0</v>
      </c>
      <c r="P156" s="100">
        <f>SUMIF([1]ChkDJ!$H$849:$H$867,B156:B561,[1]ChkDJ!$J$849:$J$867)</f>
        <v>0</v>
      </c>
      <c r="Q156" s="100">
        <f>SUMIF([1]ChkDJ!$H$849:$H$867,B156:B561,[1]ChkDJ!$K$849:$K$867)</f>
        <v>0</v>
      </c>
      <c r="R156" s="100">
        <f>SUMIF([1]CDJ!$H$190:$H$197,B156:B561,[1]CDJ!$J$190:$J$197)</f>
        <v>0</v>
      </c>
      <c r="S156" s="100">
        <f>SUMIF([1]CDJ!$H$190:$H$197,B156:B561,[1]CDJ!$K$190:$K$197)</f>
        <v>0</v>
      </c>
      <c r="T156" s="102">
        <f>SUMIF([1]GL!$H$448:$H$480,B156:B566,[1]GL!$J$448:$J$487)</f>
        <v>0</v>
      </c>
      <c r="U156" s="100">
        <f>SUMIF([1]GL!$H$448:$H$480,B156:B566,[1]GL!$K$448:$K$487)</f>
        <v>0</v>
      </c>
      <c r="V156" s="102"/>
      <c r="W156" s="100"/>
      <c r="X156" s="101"/>
      <c r="Y156" s="353"/>
    </row>
    <row r="157" spans="1:25" s="350" customFormat="1" ht="15.75" hidden="1" customHeight="1">
      <c r="A157" s="419" t="s">
        <v>622</v>
      </c>
      <c r="B157" s="423">
        <v>402</v>
      </c>
      <c r="C157" s="424"/>
      <c r="D157" s="424"/>
      <c r="E157" s="94">
        <f>+M157-K157</f>
        <v>0</v>
      </c>
      <c r="F157" s="650">
        <v>0</v>
      </c>
      <c r="G157" s="651"/>
      <c r="H157" s="593">
        <v>0</v>
      </c>
      <c r="I157" s="98">
        <f t="shared" si="9"/>
        <v>0</v>
      </c>
      <c r="J157" s="98">
        <f t="shared" si="9"/>
        <v>0</v>
      </c>
      <c r="K157" s="96">
        <f t="shared" si="10"/>
        <v>0</v>
      </c>
      <c r="L157" s="96"/>
      <c r="M157" s="96">
        <f t="shared" si="11"/>
        <v>0</v>
      </c>
      <c r="N157" s="107">
        <f>SUMIF([1]CRJ!$H$880:$H$894,B157:B562,[1]CRJ!$J$880:$J$894)</f>
        <v>0</v>
      </c>
      <c r="O157" s="100">
        <f>SUMIF([1]CRJ!$H$880:$H$894,B157:B562,[1]CRJ!$K$880:$K$894)</f>
        <v>0</v>
      </c>
      <c r="P157" s="100">
        <f>SUMIF([1]ChkDJ!$H$849:$H$867,B157:B562,[1]ChkDJ!$J$849:$J$867)</f>
        <v>0</v>
      </c>
      <c r="Q157" s="100">
        <f>SUMIF([1]ChkDJ!$H$849:$H$867,B157:B562,[1]ChkDJ!$K$849:$K$867)</f>
        <v>0</v>
      </c>
      <c r="R157" s="100">
        <f>SUMIF([1]CDJ!$H$190:$H$197,B157:B562,[1]CDJ!$J$190:$J$197)</f>
        <v>0</v>
      </c>
      <c r="S157" s="100">
        <f>SUMIF([1]CDJ!$H$190:$H$197,B157:B562,[1]CDJ!$K$190:$K$197)</f>
        <v>0</v>
      </c>
      <c r="T157" s="102">
        <f>SUMIF([1]GL!$H$448:$H$480,B157:B567,[1]GL!$J$448:$J$487)</f>
        <v>0</v>
      </c>
      <c r="U157" s="100">
        <f>SUMIF([1]GL!$H$448:$H$480,B157:B567,[1]GL!$K$448:$K$487)</f>
        <v>0</v>
      </c>
      <c r="V157" s="102"/>
      <c r="W157" s="100"/>
      <c r="X157" s="101"/>
      <c r="Y157" s="353"/>
    </row>
    <row r="158" spans="1:25" s="105" customFormat="1" ht="15.75">
      <c r="A158" s="93" t="s">
        <v>39</v>
      </c>
      <c r="B158" s="513">
        <v>403</v>
      </c>
      <c r="C158" s="106"/>
      <c r="D158" s="106"/>
      <c r="E158" s="94">
        <f t="shared" ref="E158:E256" si="13">+M158-K158</f>
        <v>235063.82999999967</v>
      </c>
      <c r="F158" s="653">
        <v>466914.96</v>
      </c>
      <c r="G158" s="98"/>
      <c r="H158" s="99">
        <v>701978.78999999969</v>
      </c>
      <c r="I158" s="98">
        <f t="shared" si="9"/>
        <v>0</v>
      </c>
      <c r="J158" s="98">
        <f t="shared" si="9"/>
        <v>0</v>
      </c>
      <c r="K158" s="96">
        <f t="shared" si="10"/>
        <v>466914.96</v>
      </c>
      <c r="L158" s="96"/>
      <c r="M158" s="96">
        <f t="shared" si="11"/>
        <v>701978.78999999969</v>
      </c>
      <c r="N158" s="107">
        <f>SUMIF([1]CRJ!$H$880:$H$894,B158:B563,[1]CRJ!$J$880:$J$894)</f>
        <v>0</v>
      </c>
      <c r="O158" s="100">
        <f>SUMIF([1]CRJ!$H$880:$H$894,B158:B563,[1]CRJ!$K$880:$K$894)</f>
        <v>0</v>
      </c>
      <c r="P158" s="100">
        <f>SUMIF([1]ChkDJ!$H$849:$H$867,B158:B563,[1]ChkDJ!$J$849:$J$867)</f>
        <v>0</v>
      </c>
      <c r="Q158" s="100">
        <f>SUMIF([1]ChkDJ!$H$849:$H$867,B158:B563,[1]ChkDJ!$K$849:$K$867)</f>
        <v>0</v>
      </c>
      <c r="R158" s="100">
        <f>SUMIF([1]CDJ!$H$190:$H$197,B158:B563,[1]CDJ!$J$190:$J$197)</f>
        <v>0</v>
      </c>
      <c r="S158" s="100">
        <f>SUMIF([1]CDJ!$H$190:$H$197,B158:B563,[1]CDJ!$K$190:$K$197)</f>
        <v>0</v>
      </c>
      <c r="T158" s="102">
        <f>SUMIF([1]GL!$H$448:$H$480,B158:B568,[1]GL!$J$448:$J$487)</f>
        <v>0</v>
      </c>
      <c r="U158" s="100">
        <f>SUMIF([1]GL!$H$448:$H$480,B158:B568,[1]GL!$K$448:$K$487)</f>
        <v>0</v>
      </c>
      <c r="V158" s="102"/>
      <c r="W158" s="100"/>
      <c r="X158" s="101"/>
      <c r="Y158" s="353"/>
    </row>
    <row r="159" spans="1:25" s="350" customFormat="1" ht="15.75" hidden="1" customHeight="1">
      <c r="A159" s="419" t="s">
        <v>623</v>
      </c>
      <c r="B159" s="423">
        <v>409</v>
      </c>
      <c r="C159" s="424"/>
      <c r="D159" s="424"/>
      <c r="E159" s="94">
        <f t="shared" si="13"/>
        <v>0</v>
      </c>
      <c r="F159" s="650">
        <v>0</v>
      </c>
      <c r="G159" s="651"/>
      <c r="H159" s="593">
        <v>0</v>
      </c>
      <c r="I159" s="98">
        <f t="shared" si="9"/>
        <v>0</v>
      </c>
      <c r="J159" s="98">
        <f t="shared" si="9"/>
        <v>0</v>
      </c>
      <c r="K159" s="96">
        <f t="shared" si="10"/>
        <v>0</v>
      </c>
      <c r="L159" s="96"/>
      <c r="M159" s="96">
        <f t="shared" si="11"/>
        <v>0</v>
      </c>
      <c r="N159" s="107">
        <f>SUMIF([1]CRJ!$H$880:$H$894,B159:B564,[1]CRJ!$J$880:$J$894)</f>
        <v>0</v>
      </c>
      <c r="O159" s="100">
        <f>SUMIF([1]CRJ!$H$880:$H$894,B159:B564,[1]CRJ!$K$880:$K$894)</f>
        <v>0</v>
      </c>
      <c r="P159" s="100">
        <f>SUMIF([1]ChkDJ!$H$849:$H$867,B159:B564,[1]ChkDJ!$J$849:$J$867)</f>
        <v>0</v>
      </c>
      <c r="Q159" s="100">
        <f>SUMIF([1]ChkDJ!$H$849:$H$867,B159:B564,[1]ChkDJ!$K$849:$K$867)</f>
        <v>0</v>
      </c>
      <c r="R159" s="100">
        <f>SUMIF([1]CDJ!$H$190:$H$197,B159:B564,[1]CDJ!$J$190:$J$197)</f>
        <v>0</v>
      </c>
      <c r="S159" s="100">
        <f>SUMIF([1]CDJ!$H$190:$H$197,B159:B564,[1]CDJ!$K$190:$K$197)</f>
        <v>0</v>
      </c>
      <c r="T159" s="102">
        <f>SUMIF([1]GL!$H$448:$H$480,B159:B569,[1]GL!$J$448:$J$487)</f>
        <v>0</v>
      </c>
      <c r="U159" s="100">
        <f>SUMIF([1]GL!$H$448:$H$480,B159:B569,[1]GL!$K$448:$K$487)</f>
        <v>0</v>
      </c>
      <c r="V159" s="102"/>
      <c r="W159" s="100"/>
      <c r="X159" s="101"/>
      <c r="Y159" s="353"/>
    </row>
    <row r="160" spans="1:25" s="105" customFormat="1" ht="15.75">
      <c r="A160" s="93" t="s">
        <v>40</v>
      </c>
      <c r="B160" s="513">
        <v>412</v>
      </c>
      <c r="C160" s="106"/>
      <c r="D160" s="106"/>
      <c r="E160" s="94">
        <f t="shared" si="13"/>
        <v>375764.84000000032</v>
      </c>
      <c r="F160" s="653">
        <v>2179022.59</v>
      </c>
      <c r="G160" s="98"/>
      <c r="H160" s="99">
        <v>2312683.2700000005</v>
      </c>
      <c r="I160" s="98">
        <f t="shared" si="9"/>
        <v>133660.68</v>
      </c>
      <c r="J160" s="98">
        <f t="shared" si="9"/>
        <v>375764.84</v>
      </c>
      <c r="K160" s="96">
        <f t="shared" si="10"/>
        <v>2312683.27</v>
      </c>
      <c r="L160" s="96"/>
      <c r="M160" s="96">
        <f t="shared" si="11"/>
        <v>2688448.1100000003</v>
      </c>
      <c r="N160" s="107">
        <f>SUMIF([1]CRJ!$H$880:$H$894,B160:B565,[1]CRJ!$J$880:$J$894)</f>
        <v>0</v>
      </c>
      <c r="O160" s="100">
        <f>SUMIF([1]CRJ!$H$880:$H$894,B160:B565,[1]CRJ!$K$880:$K$894)</f>
        <v>0</v>
      </c>
      <c r="P160" s="100">
        <f>SUMIF([1]ChkDJ!$H$849:$H$867,B160:B565,[1]ChkDJ!$J$849:$J$867)</f>
        <v>0</v>
      </c>
      <c r="Q160" s="100">
        <f>SUMIF([1]ChkDJ!$H$849:$H$867,B160:B565,[1]ChkDJ!$K$849:$K$867)</f>
        <v>170888.06000000003</v>
      </c>
      <c r="R160" s="100">
        <f>SUMIF([1]CDJ!$H$190:$H$197,B160:B565,[1]CDJ!$J$190:$J$197)</f>
        <v>0</v>
      </c>
      <c r="S160" s="100">
        <f>SUMIF([1]CDJ!$H$190:$H$197,B160:B565,[1]CDJ!$K$190:$K$197)</f>
        <v>0</v>
      </c>
      <c r="T160" s="102">
        <f>SUMIF([1]GL!$H$448:$H$480,B160:B570,[1]GL!$J$448:$J$487)</f>
        <v>133660.68</v>
      </c>
      <c r="U160" s="100">
        <f>SUMIF([1]GL!$H$448:$H$480,B160:B570,[1]GL!$K$448:$K$487)</f>
        <v>204876.78</v>
      </c>
      <c r="V160" s="102"/>
      <c r="W160" s="100"/>
      <c r="X160" s="101"/>
      <c r="Y160" s="353"/>
    </row>
    <row r="161" spans="1:25" s="105" customFormat="1" ht="15.75">
      <c r="A161" s="93" t="s">
        <v>41</v>
      </c>
      <c r="B161" s="513">
        <v>413</v>
      </c>
      <c r="C161" s="106"/>
      <c r="D161" s="106"/>
      <c r="E161" s="94">
        <f t="shared" si="13"/>
        <v>1752197.2700000014</v>
      </c>
      <c r="F161" s="653">
        <v>5289055.01</v>
      </c>
      <c r="G161" s="98"/>
      <c r="H161" s="99">
        <v>6506573.1900000013</v>
      </c>
      <c r="I161" s="98">
        <f t="shared" si="9"/>
        <v>51052.13</v>
      </c>
      <c r="J161" s="98">
        <f t="shared" si="9"/>
        <v>585731.22</v>
      </c>
      <c r="K161" s="96">
        <f t="shared" si="10"/>
        <v>5340107.1399999997</v>
      </c>
      <c r="L161" s="96"/>
      <c r="M161" s="96">
        <f t="shared" si="11"/>
        <v>7092304.4100000011</v>
      </c>
      <c r="N161" s="107">
        <f>SUMIF([1]CRJ!$H$880:$H$894,B161:B566,[1]CRJ!$J$880:$J$894)</f>
        <v>0</v>
      </c>
      <c r="O161" s="100">
        <f>SUMIF([1]CRJ!$H$880:$H$894,B161:B566,[1]CRJ!$K$880:$K$894)</f>
        <v>0</v>
      </c>
      <c r="P161" s="100">
        <f>SUMIF([1]ChkDJ!$H$849:$H$867,B161:B566,[1]ChkDJ!$J$849:$J$867)</f>
        <v>51052.13</v>
      </c>
      <c r="Q161" s="100">
        <f>SUMIF([1]ChkDJ!$H$849:$H$867,B161:B566,[1]ChkDJ!$K$849:$K$867)</f>
        <v>0</v>
      </c>
      <c r="R161" s="100">
        <f>SUMIF([1]CDJ!$H$190:$H$197,B161:B566,[1]CDJ!$J$190:$J$197)</f>
        <v>0</v>
      </c>
      <c r="S161" s="100">
        <f>SUMIF([1]CDJ!$H$190:$H$197,B161:B566,[1]CDJ!$K$190:$K$197)</f>
        <v>0</v>
      </c>
      <c r="T161" s="102">
        <f>SUMIF([1]GL!$H$448:$H$480,B161:B571,[1]GL!$J$448:$J$487)</f>
        <v>0</v>
      </c>
      <c r="U161" s="100">
        <f>SUMIF([1]GL!$H$448:$H$480,B161:B571,[1]GL!$K$448:$K$487)</f>
        <v>585731.22</v>
      </c>
      <c r="V161" s="102"/>
      <c r="W161" s="100"/>
      <c r="X161" s="101"/>
      <c r="Y161" s="353"/>
    </row>
    <row r="162" spans="1:25" s="105" customFormat="1" ht="15.75">
      <c r="A162" s="93" t="s">
        <v>42</v>
      </c>
      <c r="B162" s="513">
        <v>414</v>
      </c>
      <c r="C162" s="106"/>
      <c r="D162" s="106"/>
      <c r="E162" s="94">
        <f t="shared" si="13"/>
        <v>60088.530000000028</v>
      </c>
      <c r="F162" s="653">
        <v>488421.76</v>
      </c>
      <c r="G162" s="98"/>
      <c r="H162" s="99">
        <v>508869.24</v>
      </c>
      <c r="I162" s="98">
        <f t="shared" si="9"/>
        <v>20447.48</v>
      </c>
      <c r="J162" s="98">
        <f t="shared" si="9"/>
        <v>60088.53</v>
      </c>
      <c r="K162" s="96">
        <f t="shared" si="10"/>
        <v>508869.24</v>
      </c>
      <c r="L162" s="96"/>
      <c r="M162" s="96">
        <f t="shared" si="11"/>
        <v>568957.77</v>
      </c>
      <c r="N162" s="107">
        <f>SUMIF([1]CRJ!$H$880:$H$894,B162:B567,[1]CRJ!$J$880:$J$894)</f>
        <v>0</v>
      </c>
      <c r="O162" s="100">
        <f>SUMIF([1]CRJ!$H$880:$H$894,B162:B567,[1]CRJ!$K$880:$K$894)</f>
        <v>0</v>
      </c>
      <c r="P162" s="100">
        <f>SUMIF([1]ChkDJ!$H$849:$H$867,B162:B567,[1]ChkDJ!$J$849:$J$867)</f>
        <v>20447.48</v>
      </c>
      <c r="Q162" s="100">
        <f>SUMIF([1]ChkDJ!$H$849:$H$867,B162:B567,[1]ChkDJ!$K$849:$K$867)</f>
        <v>0</v>
      </c>
      <c r="R162" s="100">
        <f>SUMIF([1]CDJ!$H$190:$H$197,B162:B567,[1]CDJ!$J$190:$J$197)</f>
        <v>0</v>
      </c>
      <c r="S162" s="100">
        <f>SUMIF([1]CDJ!$H$190:$H$197,B162:B567,[1]CDJ!$K$190:$K$197)</f>
        <v>0</v>
      </c>
      <c r="T162" s="102">
        <f>SUMIF([1]GL!$H$448:$H$480,B162:B572,[1]GL!$J$448:$J$487)</f>
        <v>0</v>
      </c>
      <c r="U162" s="100">
        <f>SUMIF([1]GL!$H$448:$H$480,B162:B572,[1]GL!$K$448:$K$487)</f>
        <v>60088.53</v>
      </c>
      <c r="V162" s="102"/>
      <c r="W162" s="100"/>
      <c r="X162" s="101"/>
      <c r="Y162" s="353"/>
    </row>
    <row r="163" spans="1:25" s="105" customFormat="1" ht="15.75">
      <c r="A163" s="93" t="s">
        <v>43</v>
      </c>
      <c r="B163" s="513">
        <v>415</v>
      </c>
      <c r="C163" s="106"/>
      <c r="D163" s="106"/>
      <c r="E163" s="94">
        <f t="shared" si="13"/>
        <v>886513.75</v>
      </c>
      <c r="F163" s="653">
        <v>462137.5</v>
      </c>
      <c r="G163" s="98"/>
      <c r="H163" s="99">
        <v>1288726.25</v>
      </c>
      <c r="I163" s="98">
        <f t="shared" si="9"/>
        <v>3800</v>
      </c>
      <c r="J163" s="98">
        <f t="shared" si="9"/>
        <v>63725</v>
      </c>
      <c r="K163" s="96">
        <f t="shared" si="10"/>
        <v>465937.5</v>
      </c>
      <c r="L163" s="96"/>
      <c r="M163" s="96">
        <f t="shared" si="11"/>
        <v>1352451.25</v>
      </c>
      <c r="N163" s="107">
        <f>SUMIF([1]CRJ!$H$880:$H$894,B163:B568,[1]CRJ!$J$880:$J$894)</f>
        <v>0</v>
      </c>
      <c r="O163" s="100">
        <f>SUMIF([1]CRJ!$H$880:$H$894,B163:B568,[1]CRJ!$K$880:$K$894)</f>
        <v>0</v>
      </c>
      <c r="P163" s="100">
        <f>SUMIF([1]ChkDJ!$H$849:$H$867,B163:B568,[1]ChkDJ!$J$849:$J$867)</f>
        <v>3800</v>
      </c>
      <c r="Q163" s="100">
        <f>SUMIF([1]ChkDJ!$H$849:$H$867,B163:B568,[1]ChkDJ!$K$849:$K$867)</f>
        <v>0</v>
      </c>
      <c r="R163" s="100">
        <f>SUMIF([1]CDJ!$H$190:$H$197,B163:B568,[1]CDJ!$J$190:$J$197)</f>
        <v>0</v>
      </c>
      <c r="S163" s="100">
        <f>SUMIF([1]CDJ!$H$190:$H$197,B163:B568,[1]CDJ!$K$190:$K$197)</f>
        <v>0</v>
      </c>
      <c r="T163" s="102">
        <f>SUMIF([1]GL!$H$448:$H$480,B163:B573,[1]GL!$J$448:$J$487)</f>
        <v>0</v>
      </c>
      <c r="U163" s="100">
        <f>SUMIF([1]GL!$H$448:$H$480,B163:B573,[1]GL!$K$448:$K$487)</f>
        <v>63725</v>
      </c>
      <c r="V163" s="102"/>
      <c r="W163" s="100"/>
      <c r="X163" s="101"/>
      <c r="Y163" s="353"/>
    </row>
    <row r="164" spans="1:25" s="105" customFormat="1" ht="15.75" hidden="1" customHeight="1">
      <c r="A164" s="93" t="s">
        <v>851</v>
      </c>
      <c r="B164" s="513">
        <v>416</v>
      </c>
      <c r="C164" s="106"/>
      <c r="D164" s="106"/>
      <c r="E164" s="94">
        <f t="shared" si="13"/>
        <v>0</v>
      </c>
      <c r="F164" s="653"/>
      <c r="G164" s="98"/>
      <c r="H164" s="99"/>
      <c r="I164" s="98">
        <f t="shared" si="9"/>
        <v>0</v>
      </c>
      <c r="J164" s="98">
        <f t="shared" si="9"/>
        <v>0</v>
      </c>
      <c r="K164" s="96"/>
      <c r="L164" s="96"/>
      <c r="M164" s="96"/>
      <c r="N164" s="107">
        <f>SUMIF([1]CRJ!$H$880:$H$894,B164:B569,[1]CRJ!$J$880:$J$894)</f>
        <v>0</v>
      </c>
      <c r="O164" s="100">
        <f>SUMIF([1]CRJ!$H$880:$H$894,B164:B569,[1]CRJ!$K$880:$K$894)</f>
        <v>0</v>
      </c>
      <c r="P164" s="100">
        <f>SUMIF([1]ChkDJ!$H$849:$H$867,B164:B569,[1]ChkDJ!$J$849:$J$867)</f>
        <v>0</v>
      </c>
      <c r="Q164" s="100">
        <f>SUMIF([1]ChkDJ!$H$849:$H$867,B164:B569,[1]ChkDJ!$K$849:$K$867)</f>
        <v>0</v>
      </c>
      <c r="R164" s="100">
        <f>SUMIF([1]CDJ!$H$190:$H$197,B164:B569,[1]CDJ!$J$190:$J$197)</f>
        <v>0</v>
      </c>
      <c r="S164" s="100">
        <f>SUMIF([1]CDJ!$H$190:$H$197,B164:B569,[1]CDJ!$K$190:$K$197)</f>
        <v>0</v>
      </c>
      <c r="T164" s="102">
        <f>SUMIF([1]GL!$H$448:$H$480,B164:B574,[1]GL!$J$448:$J$487)</f>
        <v>0</v>
      </c>
      <c r="U164" s="100">
        <f>SUMIF([1]GL!$H$448:$H$480,B164:B574,[1]GL!$K$448:$K$487)</f>
        <v>0</v>
      </c>
      <c r="V164" s="102"/>
      <c r="W164" s="100"/>
      <c r="X164" s="101"/>
      <c r="Y164" s="353"/>
    </row>
    <row r="165" spans="1:25" s="105" customFormat="1" ht="15.75" hidden="1" customHeight="1">
      <c r="A165" s="93" t="s">
        <v>93</v>
      </c>
      <c r="B165" s="513">
        <v>417</v>
      </c>
      <c r="C165" s="106"/>
      <c r="D165" s="106"/>
      <c r="E165" s="94">
        <f t="shared" si="13"/>
        <v>0</v>
      </c>
      <c r="F165" s="653">
        <v>0</v>
      </c>
      <c r="G165" s="98"/>
      <c r="H165" s="99">
        <v>0</v>
      </c>
      <c r="I165" s="98">
        <f t="shared" si="9"/>
        <v>0</v>
      </c>
      <c r="J165" s="98">
        <f t="shared" si="9"/>
        <v>0</v>
      </c>
      <c r="K165" s="96">
        <f t="shared" si="10"/>
        <v>0</v>
      </c>
      <c r="L165" s="96"/>
      <c r="M165" s="96">
        <f t="shared" si="11"/>
        <v>0</v>
      </c>
      <c r="N165" s="107">
        <f>SUMIF([1]CRJ!$H$880:$H$894,B165:B570,[1]CRJ!$J$880:$J$894)</f>
        <v>0</v>
      </c>
      <c r="O165" s="100">
        <f>SUMIF([1]CRJ!$H$880:$H$894,B165:B570,[1]CRJ!$K$880:$K$894)</f>
        <v>0</v>
      </c>
      <c r="P165" s="100">
        <f>SUMIF([1]ChkDJ!$H$849:$H$867,B165:B570,[1]ChkDJ!$J$849:$J$867)</f>
        <v>0</v>
      </c>
      <c r="Q165" s="100">
        <f>SUMIF([1]ChkDJ!$H$849:$H$867,B165:B570,[1]ChkDJ!$K$849:$K$867)</f>
        <v>0</v>
      </c>
      <c r="R165" s="100">
        <f>SUMIF([1]CDJ!$H$190:$H$197,B165:B570,[1]CDJ!$J$190:$J$197)</f>
        <v>0</v>
      </c>
      <c r="S165" s="100">
        <f>SUMIF([1]CDJ!$H$190:$H$197,B165:B570,[1]CDJ!$K$190:$K$197)</f>
        <v>0</v>
      </c>
      <c r="T165" s="102">
        <f>SUMIF([1]GL!$H$448:$H$480,B165:B575,[1]GL!$J$448:$J$487)</f>
        <v>0</v>
      </c>
      <c r="U165" s="100">
        <f>SUMIF([1]GL!$H$448:$H$480,B165:B575,[1]GL!$K$448:$K$487)</f>
        <v>0</v>
      </c>
      <c r="V165" s="102"/>
      <c r="W165" s="100"/>
      <c r="X165" s="101"/>
      <c r="Y165" s="353"/>
    </row>
    <row r="166" spans="1:25" s="350" customFormat="1" ht="15.75" hidden="1" customHeight="1">
      <c r="A166" s="419" t="s">
        <v>624</v>
      </c>
      <c r="B166" s="423">
        <v>418</v>
      </c>
      <c r="C166" s="424"/>
      <c r="D166" s="424"/>
      <c r="E166" s="420">
        <f t="shared" si="13"/>
        <v>0</v>
      </c>
      <c r="F166" s="650">
        <v>0</v>
      </c>
      <c r="G166" s="651"/>
      <c r="H166" s="593">
        <v>0</v>
      </c>
      <c r="I166" s="98">
        <f t="shared" si="9"/>
        <v>0</v>
      </c>
      <c r="J166" s="98">
        <f t="shared" si="9"/>
        <v>0</v>
      </c>
      <c r="K166" s="96">
        <f t="shared" si="10"/>
        <v>0</v>
      </c>
      <c r="L166" s="96"/>
      <c r="M166" s="96">
        <f t="shared" si="11"/>
        <v>0</v>
      </c>
      <c r="N166" s="107">
        <f>SUMIF([1]CRJ!$H$880:$H$894,B166:B571,[1]CRJ!$J$880:$J$894)</f>
        <v>0</v>
      </c>
      <c r="O166" s="100">
        <f>SUMIF([1]CRJ!$H$880:$H$894,B166:B571,[1]CRJ!$K$880:$K$894)</f>
        <v>0</v>
      </c>
      <c r="P166" s="100">
        <f>SUMIF([1]ChkDJ!$H$849:$H$867,B166:B571,[1]ChkDJ!$J$849:$J$867)</f>
        <v>0</v>
      </c>
      <c r="Q166" s="100">
        <f>SUMIF([1]ChkDJ!$H$849:$H$867,B166:B571,[1]ChkDJ!$K$849:$K$867)</f>
        <v>0</v>
      </c>
      <c r="R166" s="100">
        <f>SUMIF([1]CDJ!$H$190:$H$197,B166:B571,[1]CDJ!$J$190:$J$197)</f>
        <v>0</v>
      </c>
      <c r="S166" s="100">
        <f>SUMIF([1]CDJ!$H$190:$H$197,B166:B571,[1]CDJ!$K$190:$K$197)</f>
        <v>0</v>
      </c>
      <c r="T166" s="102">
        <f>SUMIF([1]GL!$H$448:$H$480,B166:B576,[1]GL!$J$448:$J$487)</f>
        <v>0</v>
      </c>
      <c r="U166" s="100">
        <f>SUMIF([1]GL!$H$448:$H$480,B166:B576,[1]GL!$K$448:$K$487)</f>
        <v>0</v>
      </c>
      <c r="V166" s="102"/>
      <c r="W166" s="100"/>
      <c r="X166" s="101"/>
      <c r="Y166" s="353"/>
    </row>
    <row r="167" spans="1:25" s="105" customFormat="1" ht="15.75">
      <c r="A167" s="93" t="s">
        <v>44</v>
      </c>
      <c r="B167" s="513">
        <v>424</v>
      </c>
      <c r="C167" s="106"/>
      <c r="D167" s="106"/>
      <c r="E167" s="94">
        <f t="shared" si="13"/>
        <v>19597.330000000016</v>
      </c>
      <c r="F167" s="653">
        <v>286520.2</v>
      </c>
      <c r="G167" s="98"/>
      <c r="H167" s="99">
        <v>287648.26</v>
      </c>
      <c r="I167" s="98">
        <f t="shared" si="9"/>
        <v>0</v>
      </c>
      <c r="J167" s="98">
        <f t="shared" si="9"/>
        <v>18469.27</v>
      </c>
      <c r="K167" s="96">
        <f t="shared" si="10"/>
        <v>286520.2</v>
      </c>
      <c r="L167" s="96"/>
      <c r="M167" s="96">
        <f t="shared" si="11"/>
        <v>306117.53000000003</v>
      </c>
      <c r="N167" s="107">
        <f>SUMIF([1]CRJ!$H$880:$H$894,B167:B572,[1]CRJ!$J$880:$J$894)</f>
        <v>0</v>
      </c>
      <c r="O167" s="100">
        <f>SUMIF([1]CRJ!$H$880:$H$894,B167:B572,[1]CRJ!$K$880:$K$894)</f>
        <v>11247.93</v>
      </c>
      <c r="P167" s="100">
        <f>SUMIF([1]ChkDJ!$H$849:$H$867,B167:B572,[1]ChkDJ!$J$849:$J$867)</f>
        <v>0</v>
      </c>
      <c r="Q167" s="100">
        <f>SUMIF([1]ChkDJ!$H$849:$H$867,B167:B572,[1]ChkDJ!$K$849:$K$867)</f>
        <v>4310</v>
      </c>
      <c r="R167" s="100">
        <f>SUMIF([1]CDJ!$H$190:$H$197,B167:B572,[1]CDJ!$J$190:$J$197)</f>
        <v>0</v>
      </c>
      <c r="S167" s="100">
        <f>SUMIF([1]CDJ!$H$190:$H$197,B167:B572,[1]CDJ!$K$190:$K$197)</f>
        <v>0</v>
      </c>
      <c r="T167" s="102">
        <f>SUMIF([1]GL!$H$448:$H$480,B167:B577,[1]GL!$J$448:$J$487)</f>
        <v>0</v>
      </c>
      <c r="U167" s="100">
        <f>SUMIF([1]GL!$H$448:$H$480,B167:B577,[1]GL!$K$448:$K$487)</f>
        <v>2911.34</v>
      </c>
      <c r="V167" s="102"/>
      <c r="W167" s="100"/>
      <c r="X167" s="101"/>
      <c r="Y167" s="353"/>
    </row>
    <row r="168" spans="1:25" s="105" customFormat="1" ht="15.75">
      <c r="A168" s="93" t="s">
        <v>45</v>
      </c>
      <c r="B168" s="513">
        <v>426</v>
      </c>
      <c r="C168" s="106"/>
      <c r="D168" s="106"/>
      <c r="E168" s="94">
        <f t="shared" si="13"/>
        <v>225805.13000000006</v>
      </c>
      <c r="F168" s="653">
        <v>283219.67000000004</v>
      </c>
      <c r="G168" s="98"/>
      <c r="H168" s="99">
        <v>479932.60000000009</v>
      </c>
      <c r="I168" s="98">
        <f t="shared" si="9"/>
        <v>0</v>
      </c>
      <c r="J168" s="98">
        <f t="shared" si="9"/>
        <v>29092.2</v>
      </c>
      <c r="K168" s="96">
        <f t="shared" si="10"/>
        <v>283219.67000000004</v>
      </c>
      <c r="L168" s="96"/>
      <c r="M168" s="96">
        <f t="shared" si="11"/>
        <v>509024.8000000001</v>
      </c>
      <c r="N168" s="107">
        <f>SUMIF([1]CRJ!$H$880:$H$894,B168:B573,[1]CRJ!$J$880:$J$894)</f>
        <v>0</v>
      </c>
      <c r="O168" s="100">
        <f>SUMIF([1]CRJ!$H$880:$H$894,B168:B573,[1]CRJ!$K$880:$K$894)</f>
        <v>0</v>
      </c>
      <c r="P168" s="100">
        <f>SUMIF([1]ChkDJ!$H$849:$H$867,B168:B573,[1]ChkDJ!$J$849:$J$867)</f>
        <v>0</v>
      </c>
      <c r="Q168" s="100">
        <f>SUMIF([1]ChkDJ!$H$849:$H$867,B168:B573,[1]ChkDJ!$K$849:$K$867)</f>
        <v>29092.2</v>
      </c>
      <c r="R168" s="100">
        <f>SUMIF([1]CDJ!$H$190:$H$197,B168:B573,[1]CDJ!$J$190:$J$197)</f>
        <v>0</v>
      </c>
      <c r="S168" s="100">
        <f>SUMIF([1]CDJ!$H$190:$H$197,B168:B573,[1]CDJ!$K$190:$K$197)</f>
        <v>0</v>
      </c>
      <c r="T168" s="102">
        <f>SUMIF([1]GL!$H$448:$H$480,B168:B578,[1]GL!$J$448:$J$487)</f>
        <v>0</v>
      </c>
      <c r="U168" s="100">
        <f>SUMIF([1]GL!$H$448:$H$480,B168:B578,[1]GL!$K$448:$K$487)</f>
        <v>0</v>
      </c>
      <c r="V168" s="102"/>
      <c r="W168" s="100"/>
      <c r="X168" s="101"/>
      <c r="Y168" s="353"/>
    </row>
    <row r="169" spans="1:25" s="350" customFormat="1" ht="15.75" hidden="1" customHeight="1">
      <c r="A169" s="419" t="s">
        <v>625</v>
      </c>
      <c r="B169" s="423">
        <v>427</v>
      </c>
      <c r="C169" s="424"/>
      <c r="D169" s="424"/>
      <c r="E169" s="420">
        <f t="shared" si="13"/>
        <v>0</v>
      </c>
      <c r="F169" s="650">
        <v>0</v>
      </c>
      <c r="G169" s="651"/>
      <c r="H169" s="593">
        <v>0</v>
      </c>
      <c r="I169" s="98">
        <f t="shared" si="9"/>
        <v>0</v>
      </c>
      <c r="J169" s="98">
        <f t="shared" si="9"/>
        <v>0</v>
      </c>
      <c r="K169" s="96">
        <f t="shared" si="10"/>
        <v>0</v>
      </c>
      <c r="L169" s="96"/>
      <c r="M169" s="96">
        <f t="shared" si="11"/>
        <v>0</v>
      </c>
      <c r="N169" s="107">
        <f>SUMIF([1]CRJ!$H$880:$H$894,B169:B574,[1]CRJ!$J$880:$J$894)</f>
        <v>0</v>
      </c>
      <c r="O169" s="100">
        <f>SUMIF([1]CRJ!$H$880:$H$894,B169:B574,[1]CRJ!$K$880:$K$894)</f>
        <v>0</v>
      </c>
      <c r="P169" s="100">
        <f>SUMIF([1]ChkDJ!$H$849:$H$867,B169:B574,[1]ChkDJ!$J$849:$J$867)</f>
        <v>0</v>
      </c>
      <c r="Q169" s="100">
        <f>SUMIF([1]ChkDJ!$H$849:$H$867,B169:B574,[1]ChkDJ!$K$849:$K$867)</f>
        <v>0</v>
      </c>
      <c r="R169" s="100">
        <f>SUMIF([1]CDJ!$H$190:$H$197,B169:B574,[1]CDJ!$J$190:$J$197)</f>
        <v>0</v>
      </c>
      <c r="S169" s="100">
        <f>SUMIF([1]CDJ!$H$190:$H$197,B169:B574,[1]CDJ!$K$190:$K$197)</f>
        <v>0</v>
      </c>
      <c r="T169" s="102">
        <f>SUMIF([1]GL!$H$448:$H$480,B169:B579,[1]GL!$J$448:$J$487)</f>
        <v>0</v>
      </c>
      <c r="U169" s="100">
        <f>SUMIF([1]GL!$H$448:$H$480,B169:B579,[1]GL!$K$448:$K$487)</f>
        <v>0</v>
      </c>
      <c r="V169" s="102"/>
      <c r="W169" s="100"/>
      <c r="X169" s="101"/>
      <c r="Y169" s="353"/>
    </row>
    <row r="170" spans="1:25" s="350" customFormat="1" ht="15.75" hidden="1" customHeight="1">
      <c r="A170" s="419" t="s">
        <v>626</v>
      </c>
      <c r="B170" s="423">
        <v>429</v>
      </c>
      <c r="C170" s="424"/>
      <c r="D170" s="424"/>
      <c r="E170" s="420">
        <f t="shared" si="13"/>
        <v>0</v>
      </c>
      <c r="F170" s="650">
        <v>0</v>
      </c>
      <c r="G170" s="651"/>
      <c r="H170" s="593">
        <v>0</v>
      </c>
      <c r="I170" s="98">
        <f t="shared" si="9"/>
        <v>0</v>
      </c>
      <c r="J170" s="98">
        <f t="shared" si="9"/>
        <v>0</v>
      </c>
      <c r="K170" s="96">
        <f t="shared" si="10"/>
        <v>0</v>
      </c>
      <c r="L170" s="96"/>
      <c r="M170" s="96">
        <f t="shared" si="11"/>
        <v>0</v>
      </c>
      <c r="N170" s="107">
        <f>SUMIF([1]CRJ!$H$880:$H$894,B170:B575,[1]CRJ!$J$880:$J$894)</f>
        <v>0</v>
      </c>
      <c r="O170" s="100">
        <f>SUMIF([1]CRJ!$H$880:$H$894,B170:B575,[1]CRJ!$K$880:$K$894)</f>
        <v>0</v>
      </c>
      <c r="P170" s="100">
        <f>SUMIF([1]ChkDJ!$H$849:$H$867,B170:B575,[1]ChkDJ!$J$849:$J$867)</f>
        <v>0</v>
      </c>
      <c r="Q170" s="100">
        <f>SUMIF([1]ChkDJ!$H$849:$H$867,B170:B575,[1]ChkDJ!$K$849:$K$867)</f>
        <v>0</v>
      </c>
      <c r="R170" s="100">
        <f>SUMIF([1]CDJ!$H$190:$H$197,B170:B575,[1]CDJ!$J$190:$J$197)</f>
        <v>0</v>
      </c>
      <c r="S170" s="100">
        <f>SUMIF([1]CDJ!$H$190:$H$197,B170:B575,[1]CDJ!$K$190:$K$197)</f>
        <v>0</v>
      </c>
      <c r="T170" s="102">
        <f>SUMIF([1]GL!$H$448:$H$480,B170:B580,[1]GL!$J$448:$J$487)</f>
        <v>0</v>
      </c>
      <c r="U170" s="100">
        <f>SUMIF([1]GL!$H$448:$H$480,B170:B580,[1]GL!$K$448:$K$487)</f>
        <v>0</v>
      </c>
      <c r="V170" s="102"/>
      <c r="W170" s="100"/>
      <c r="X170" s="101"/>
      <c r="Y170" s="353"/>
    </row>
    <row r="171" spans="1:25" s="105" customFormat="1" ht="16.5" thickBot="1">
      <c r="A171" s="109" t="s">
        <v>46</v>
      </c>
      <c r="B171" s="515">
        <v>439</v>
      </c>
      <c r="C171" s="654"/>
      <c r="D171" s="654"/>
      <c r="E171" s="655">
        <f t="shared" si="13"/>
        <v>58050</v>
      </c>
      <c r="F171" s="653">
        <v>3223988.96</v>
      </c>
      <c r="G171" s="98"/>
      <c r="H171" s="99">
        <v>3274038.96</v>
      </c>
      <c r="I171" s="98">
        <f t="shared" si="9"/>
        <v>471669.15</v>
      </c>
      <c r="J171" s="98">
        <f t="shared" si="9"/>
        <v>479669.15</v>
      </c>
      <c r="K171" s="96">
        <f t="shared" si="10"/>
        <v>3695658.11</v>
      </c>
      <c r="L171" s="96"/>
      <c r="M171" s="96">
        <f t="shared" si="11"/>
        <v>3753708.11</v>
      </c>
      <c r="N171" s="107">
        <f>SUMIF([1]CRJ!$H$880:$H$894,B171:B576,[1]CRJ!$J$880:$J$894)</f>
        <v>0</v>
      </c>
      <c r="O171" s="100">
        <f>SUMIF([1]CRJ!$H$880:$H$894,B171:B576,[1]CRJ!$K$880:$K$894)</f>
        <v>0</v>
      </c>
      <c r="P171" s="100">
        <f>SUMIF([1]ChkDJ!$H$849:$H$867,B171:B576,[1]ChkDJ!$J$849:$J$867)</f>
        <v>471669.15</v>
      </c>
      <c r="Q171" s="100">
        <f>SUMIF([1]ChkDJ!$H$849:$H$867,B171:B576,[1]ChkDJ!$K$849:$K$867)</f>
        <v>0</v>
      </c>
      <c r="R171" s="100">
        <f>SUMIF([1]CDJ!$H$190:$H$197,B171:B576,[1]CDJ!$J$190:$J$197)</f>
        <v>0</v>
      </c>
      <c r="S171" s="100">
        <f>SUMIF([1]CDJ!$H$190:$H$197,B171:B576,[1]CDJ!$K$190:$K$197)</f>
        <v>0</v>
      </c>
      <c r="T171" s="102">
        <f>SUMIF([1]GL!$H$448:$H$480,B171:B581,[1]GL!$J$448:$J$487)</f>
        <v>0</v>
      </c>
      <c r="U171" s="100">
        <f>SUMIF([1]GL!$H$448:$H$480,B171:B581,[1]GL!$K$448:$K$487)</f>
        <v>479669.15</v>
      </c>
      <c r="V171" s="102"/>
      <c r="W171" s="100"/>
      <c r="X171" s="101"/>
      <c r="Y171" s="353"/>
    </row>
    <row r="172" spans="1:25" s="350" customFormat="1" ht="15.75" hidden="1" customHeight="1">
      <c r="A172" s="419" t="s">
        <v>627</v>
      </c>
      <c r="B172" s="423">
        <v>441</v>
      </c>
      <c r="C172" s="424"/>
      <c r="D172" s="424"/>
      <c r="E172" s="94">
        <f t="shared" si="13"/>
        <v>0</v>
      </c>
      <c r="F172" s="650">
        <v>0</v>
      </c>
      <c r="G172" s="651"/>
      <c r="H172" s="593">
        <v>0</v>
      </c>
      <c r="I172" s="98">
        <f t="shared" si="9"/>
        <v>0</v>
      </c>
      <c r="J172" s="98">
        <f t="shared" si="9"/>
        <v>0</v>
      </c>
      <c r="K172" s="96">
        <f t="shared" si="10"/>
        <v>0</v>
      </c>
      <c r="L172" s="96"/>
      <c r="M172" s="96">
        <f t="shared" si="11"/>
        <v>0</v>
      </c>
      <c r="N172" s="107">
        <f>SUMIF([1]CRJ!$H$880:$H$894,B172:B577,[1]CRJ!$J$880:$J$894)</f>
        <v>0</v>
      </c>
      <c r="O172" s="100">
        <f>SUMIF([1]CRJ!$H$880:$H$894,B172:B577,[1]CRJ!$K$880:$K$894)</f>
        <v>0</v>
      </c>
      <c r="P172" s="100">
        <f>SUMIF([1]ChkDJ!$H$849:$H$867,B172:B577,[1]ChkDJ!$J$849:$J$867)</f>
        <v>0</v>
      </c>
      <c r="Q172" s="100">
        <f>SUMIF([1]ChkDJ!$H$849:$H$867,B172:B577,[1]ChkDJ!$K$849:$K$867)</f>
        <v>0</v>
      </c>
      <c r="R172" s="100">
        <f>SUMIF([1]CDJ!$H$190:$H$197,B172:B577,[1]CDJ!$J$190:$J$197)</f>
        <v>0</v>
      </c>
      <c r="S172" s="100">
        <f>SUMIF([1]CDJ!$H$190:$H$197,B172:B577,[1]CDJ!$K$190:$K$197)</f>
        <v>0</v>
      </c>
      <c r="T172" s="102">
        <f>SUMIF([1]GL!$H$448:$H$480,B172:B582,[1]GL!$J$448:$J$487)</f>
        <v>0</v>
      </c>
      <c r="U172" s="100">
        <f>SUMIF([1]GL!$H$448:$H$480,B172:B582,[1]GL!$K$448:$K$487)</f>
        <v>0</v>
      </c>
      <c r="V172" s="102"/>
      <c r="W172" s="100"/>
      <c r="X172" s="101"/>
      <c r="Y172" s="353"/>
    </row>
    <row r="173" spans="1:25" s="350" customFormat="1" ht="15.75" hidden="1" customHeight="1">
      <c r="A173" s="419" t="s">
        <v>628</v>
      </c>
      <c r="B173" s="423">
        <v>442</v>
      </c>
      <c r="C173" s="424"/>
      <c r="D173" s="424"/>
      <c r="E173" s="94">
        <f t="shared" si="13"/>
        <v>0</v>
      </c>
      <c r="F173" s="650">
        <v>0</v>
      </c>
      <c r="G173" s="651"/>
      <c r="H173" s="593">
        <v>0</v>
      </c>
      <c r="I173" s="98">
        <f t="shared" si="9"/>
        <v>0</v>
      </c>
      <c r="J173" s="98">
        <f t="shared" si="9"/>
        <v>0</v>
      </c>
      <c r="K173" s="96">
        <f t="shared" si="10"/>
        <v>0</v>
      </c>
      <c r="L173" s="96"/>
      <c r="M173" s="96">
        <f t="shared" si="11"/>
        <v>0</v>
      </c>
      <c r="N173" s="107">
        <f>SUMIF([1]CRJ!$H$880:$H$894,B173:B578,[1]CRJ!$J$880:$J$894)</f>
        <v>0</v>
      </c>
      <c r="O173" s="100">
        <f>SUMIF([1]CRJ!$H$880:$H$894,B173:B578,[1]CRJ!$K$880:$K$894)</f>
        <v>0</v>
      </c>
      <c r="P173" s="100">
        <f>SUMIF([1]ChkDJ!$H$849:$H$867,B173:B578,[1]ChkDJ!$J$849:$J$867)</f>
        <v>0</v>
      </c>
      <c r="Q173" s="100">
        <f>SUMIF([1]ChkDJ!$H$849:$H$867,B173:B578,[1]ChkDJ!$K$849:$K$867)</f>
        <v>0</v>
      </c>
      <c r="R173" s="100">
        <f>SUMIF([1]CDJ!$H$190:$H$197,B173:B578,[1]CDJ!$J$190:$J$197)</f>
        <v>0</v>
      </c>
      <c r="S173" s="100">
        <f>SUMIF([1]CDJ!$H$190:$H$197,B173:B578,[1]CDJ!$K$190:$K$197)</f>
        <v>0</v>
      </c>
      <c r="T173" s="102">
        <f>SUMIF([1]GL!$H$448:$H$480,B173:B583,[1]GL!$J$448:$J$487)</f>
        <v>0</v>
      </c>
      <c r="U173" s="100">
        <f>SUMIF([1]GL!$H$448:$H$480,B173:B583,[1]GL!$K$448:$K$487)</f>
        <v>0</v>
      </c>
      <c r="V173" s="102"/>
      <c r="W173" s="100"/>
      <c r="X173" s="101"/>
      <c r="Y173" s="353"/>
    </row>
    <row r="174" spans="1:25" s="350" customFormat="1" ht="15.75" hidden="1" customHeight="1">
      <c r="A174" s="419" t="s">
        <v>629</v>
      </c>
      <c r="B174" s="423">
        <v>443</v>
      </c>
      <c r="C174" s="424"/>
      <c r="D174" s="424"/>
      <c r="E174" s="94">
        <f t="shared" si="13"/>
        <v>0</v>
      </c>
      <c r="F174" s="650">
        <v>0</v>
      </c>
      <c r="G174" s="651"/>
      <c r="H174" s="593">
        <v>0</v>
      </c>
      <c r="I174" s="98">
        <f t="shared" si="9"/>
        <v>0</v>
      </c>
      <c r="J174" s="98">
        <f t="shared" si="9"/>
        <v>0</v>
      </c>
      <c r="K174" s="96">
        <f t="shared" si="10"/>
        <v>0</v>
      </c>
      <c r="L174" s="96"/>
      <c r="M174" s="96">
        <f t="shared" si="11"/>
        <v>0</v>
      </c>
      <c r="N174" s="107">
        <f>SUMIF([1]CRJ!$H$880:$H$894,B174:B579,[1]CRJ!$J$880:$J$894)</f>
        <v>0</v>
      </c>
      <c r="O174" s="100">
        <f>SUMIF([1]CRJ!$H$880:$H$894,B174:B579,[1]CRJ!$K$880:$K$894)</f>
        <v>0</v>
      </c>
      <c r="P174" s="100">
        <f>SUMIF([1]ChkDJ!$H$849:$H$867,B174:B579,[1]ChkDJ!$J$849:$J$867)</f>
        <v>0</v>
      </c>
      <c r="Q174" s="100">
        <f>SUMIF([1]ChkDJ!$H$849:$H$867,B174:B579,[1]ChkDJ!$K$849:$K$867)</f>
        <v>0</v>
      </c>
      <c r="R174" s="100">
        <f>SUMIF([1]CDJ!$H$190:$H$197,B174:B579,[1]CDJ!$J$190:$J$197)</f>
        <v>0</v>
      </c>
      <c r="S174" s="100">
        <f>SUMIF([1]CDJ!$H$190:$H$197,B174:B579,[1]CDJ!$K$190:$K$197)</f>
        <v>0</v>
      </c>
      <c r="T174" s="102">
        <f>SUMIF([1]GL!$H$448:$H$480,B174:B584,[1]GL!$J$448:$J$487)</f>
        <v>0</v>
      </c>
      <c r="U174" s="100">
        <f>SUMIF([1]GL!$H$448:$H$480,B174:B584,[1]GL!$K$448:$K$487)</f>
        <v>0</v>
      </c>
      <c r="V174" s="102"/>
      <c r="W174" s="100"/>
      <c r="X174" s="101"/>
      <c r="Y174" s="353"/>
    </row>
    <row r="175" spans="1:25" s="350" customFormat="1" ht="15.75" hidden="1" customHeight="1">
      <c r="A175" s="419" t="s">
        <v>630</v>
      </c>
      <c r="B175" s="423">
        <v>444</v>
      </c>
      <c r="C175" s="424"/>
      <c r="D175" s="424"/>
      <c r="E175" s="94">
        <f t="shared" si="13"/>
        <v>0</v>
      </c>
      <c r="F175" s="650">
        <v>0</v>
      </c>
      <c r="G175" s="651"/>
      <c r="H175" s="593">
        <v>0</v>
      </c>
      <c r="I175" s="98">
        <f t="shared" si="9"/>
        <v>0</v>
      </c>
      <c r="J175" s="98">
        <f t="shared" si="9"/>
        <v>0</v>
      </c>
      <c r="K175" s="96">
        <f t="shared" si="10"/>
        <v>0</v>
      </c>
      <c r="L175" s="96"/>
      <c r="M175" s="96">
        <f t="shared" si="11"/>
        <v>0</v>
      </c>
      <c r="N175" s="107">
        <f>SUMIF([1]CRJ!$H$880:$H$894,B175:B580,[1]CRJ!$J$880:$J$894)</f>
        <v>0</v>
      </c>
      <c r="O175" s="100">
        <f>SUMIF([1]CRJ!$H$880:$H$894,B175:B580,[1]CRJ!$K$880:$K$894)</f>
        <v>0</v>
      </c>
      <c r="P175" s="100">
        <f>SUMIF([1]ChkDJ!$H$849:$H$867,B175:B580,[1]ChkDJ!$J$849:$J$867)</f>
        <v>0</v>
      </c>
      <c r="Q175" s="100">
        <f>SUMIF([1]ChkDJ!$H$849:$H$867,B175:B580,[1]ChkDJ!$K$849:$K$867)</f>
        <v>0</v>
      </c>
      <c r="R175" s="100">
        <f>SUMIF([1]CDJ!$H$190:$H$197,B175:B580,[1]CDJ!$J$190:$J$197)</f>
        <v>0</v>
      </c>
      <c r="S175" s="100">
        <f>SUMIF([1]CDJ!$H$190:$H$197,B175:B580,[1]CDJ!$K$190:$K$197)</f>
        <v>0</v>
      </c>
      <c r="T175" s="102">
        <f>SUMIF([1]GL!$H$448:$H$480,B175:B585,[1]GL!$J$448:$J$487)</f>
        <v>0</v>
      </c>
      <c r="U175" s="100">
        <f>SUMIF([1]GL!$H$448:$H$480,B175:B585,[1]GL!$K$448:$K$487)</f>
        <v>0</v>
      </c>
      <c r="V175" s="102"/>
      <c r="W175" s="100"/>
      <c r="X175" s="101"/>
      <c r="Y175" s="353"/>
    </row>
    <row r="176" spans="1:25" s="350" customFormat="1" ht="15.75" hidden="1" customHeight="1">
      <c r="A176" s="419" t="s">
        <v>631</v>
      </c>
      <c r="B176" s="423">
        <v>445</v>
      </c>
      <c r="C176" s="424"/>
      <c r="D176" s="424"/>
      <c r="E176" s="94">
        <f t="shared" si="13"/>
        <v>0</v>
      </c>
      <c r="F176" s="650">
        <v>0</v>
      </c>
      <c r="G176" s="651"/>
      <c r="H176" s="593">
        <v>0</v>
      </c>
      <c r="I176" s="98">
        <f t="shared" si="9"/>
        <v>0</v>
      </c>
      <c r="J176" s="98">
        <f t="shared" si="9"/>
        <v>0</v>
      </c>
      <c r="K176" s="96">
        <f t="shared" si="10"/>
        <v>0</v>
      </c>
      <c r="L176" s="96"/>
      <c r="M176" s="96">
        <f t="shared" si="11"/>
        <v>0</v>
      </c>
      <c r="N176" s="107">
        <f>SUMIF([1]CRJ!$H$880:$H$894,B176:B581,[1]CRJ!$J$880:$J$894)</f>
        <v>0</v>
      </c>
      <c r="O176" s="100">
        <f>SUMIF([1]CRJ!$H$880:$H$894,B176:B581,[1]CRJ!$K$880:$K$894)</f>
        <v>0</v>
      </c>
      <c r="P176" s="100">
        <f>SUMIF([1]ChkDJ!$H$849:$H$867,B176:B581,[1]ChkDJ!$J$849:$J$867)</f>
        <v>0</v>
      </c>
      <c r="Q176" s="100">
        <f>SUMIF([1]ChkDJ!$H$849:$H$867,B176:B581,[1]ChkDJ!$K$849:$K$867)</f>
        <v>0</v>
      </c>
      <c r="R176" s="100">
        <f>SUMIF([1]CDJ!$H$190:$H$197,B176:B581,[1]CDJ!$J$190:$J$197)</f>
        <v>0</v>
      </c>
      <c r="S176" s="100">
        <f>SUMIF([1]CDJ!$H$190:$H$197,B176:B581,[1]CDJ!$K$190:$K$197)</f>
        <v>0</v>
      </c>
      <c r="T176" s="102">
        <f>SUMIF([1]GL!$H$448:$H$480,B176:B586,[1]GL!$J$448:$J$487)</f>
        <v>0</v>
      </c>
      <c r="U176" s="100">
        <f>SUMIF([1]GL!$H$448:$H$480,B176:B586,[1]GL!$K$448:$K$487)</f>
        <v>0</v>
      </c>
      <c r="V176" s="102"/>
      <c r="W176" s="100"/>
      <c r="X176" s="101"/>
      <c r="Y176" s="353"/>
    </row>
    <row r="177" spans="1:25" s="350" customFormat="1" ht="15.75" hidden="1" customHeight="1">
      <c r="A177" s="419" t="s">
        <v>632</v>
      </c>
      <c r="B177" s="423">
        <v>450</v>
      </c>
      <c r="C177" s="424"/>
      <c r="D177" s="424"/>
      <c r="E177" s="94">
        <f t="shared" si="13"/>
        <v>0</v>
      </c>
      <c r="F177" s="650">
        <v>0</v>
      </c>
      <c r="G177" s="651"/>
      <c r="H177" s="593">
        <v>0</v>
      </c>
      <c r="I177" s="98">
        <f t="shared" si="9"/>
        <v>0</v>
      </c>
      <c r="J177" s="98">
        <f t="shared" si="9"/>
        <v>0</v>
      </c>
      <c r="K177" s="96">
        <f t="shared" si="10"/>
        <v>0</v>
      </c>
      <c r="L177" s="96"/>
      <c r="M177" s="96">
        <f t="shared" si="11"/>
        <v>0</v>
      </c>
      <c r="N177" s="107">
        <f>SUMIF([1]CRJ!$H$880:$H$894,B177:B582,[1]CRJ!$J$880:$J$894)</f>
        <v>0</v>
      </c>
      <c r="O177" s="100">
        <f>SUMIF([1]CRJ!$H$880:$H$894,B177:B582,[1]CRJ!$K$880:$K$894)</f>
        <v>0</v>
      </c>
      <c r="P177" s="100">
        <f>SUMIF([1]ChkDJ!$H$849:$H$867,B177:B582,[1]ChkDJ!$J$849:$J$867)</f>
        <v>0</v>
      </c>
      <c r="Q177" s="100">
        <f>SUMIF([1]ChkDJ!$H$849:$H$867,B177:B582,[1]ChkDJ!$K$849:$K$867)</f>
        <v>0</v>
      </c>
      <c r="R177" s="100">
        <f>SUMIF([1]CDJ!$H$190:$H$197,B177:B582,[1]CDJ!$J$190:$J$197)</f>
        <v>0</v>
      </c>
      <c r="S177" s="100">
        <f>SUMIF([1]CDJ!$H$190:$H$197,B177:B582,[1]CDJ!$K$190:$K$197)</f>
        <v>0</v>
      </c>
      <c r="T177" s="102">
        <f>SUMIF([1]GL!$H$448:$H$480,B177:B587,[1]GL!$J$448:$J$487)</f>
        <v>0</v>
      </c>
      <c r="U177" s="100">
        <f>SUMIF([1]GL!$H$448:$H$480,B177:B587,[1]GL!$K$448:$K$487)</f>
        <v>0</v>
      </c>
      <c r="V177" s="102"/>
      <c r="W177" s="100"/>
      <c r="X177" s="101"/>
      <c r="Y177" s="353"/>
    </row>
    <row r="178" spans="1:25" s="350" customFormat="1" ht="15.75" hidden="1" customHeight="1">
      <c r="A178" s="419" t="s">
        <v>633</v>
      </c>
      <c r="B178" s="423">
        <v>451</v>
      </c>
      <c r="C178" s="424"/>
      <c r="D178" s="424"/>
      <c r="E178" s="94">
        <f t="shared" si="13"/>
        <v>0</v>
      </c>
      <c r="F178" s="650">
        <v>0</v>
      </c>
      <c r="G178" s="651"/>
      <c r="H178" s="593">
        <v>0</v>
      </c>
      <c r="I178" s="98">
        <f t="shared" si="9"/>
        <v>0</v>
      </c>
      <c r="J178" s="98">
        <f t="shared" si="9"/>
        <v>0</v>
      </c>
      <c r="K178" s="96">
        <f t="shared" si="10"/>
        <v>0</v>
      </c>
      <c r="L178" s="96"/>
      <c r="M178" s="96">
        <f t="shared" si="11"/>
        <v>0</v>
      </c>
      <c r="N178" s="107">
        <f>SUMIF([1]CRJ!$H$880:$H$894,B178:B583,[1]CRJ!$J$880:$J$894)</f>
        <v>0</v>
      </c>
      <c r="O178" s="100">
        <f>SUMIF([1]CRJ!$H$880:$H$894,B178:B583,[1]CRJ!$K$880:$K$894)</f>
        <v>0</v>
      </c>
      <c r="P178" s="100">
        <f>SUMIF([1]ChkDJ!$H$849:$H$867,B178:B583,[1]ChkDJ!$J$849:$J$867)</f>
        <v>0</v>
      </c>
      <c r="Q178" s="100">
        <f>SUMIF([1]ChkDJ!$H$849:$H$867,B178:B583,[1]ChkDJ!$K$849:$K$867)</f>
        <v>0</v>
      </c>
      <c r="R178" s="100">
        <f>SUMIF([1]CDJ!$H$190:$H$197,B178:B583,[1]CDJ!$J$190:$J$197)</f>
        <v>0</v>
      </c>
      <c r="S178" s="100">
        <f>SUMIF([1]CDJ!$H$190:$H$197,B178:B583,[1]CDJ!$K$190:$K$197)</f>
        <v>0</v>
      </c>
      <c r="T178" s="102">
        <f>SUMIF([1]GL!$H$448:$H$480,B178:B588,[1]GL!$J$448:$J$487)</f>
        <v>0</v>
      </c>
      <c r="U178" s="100">
        <f>SUMIF([1]GL!$H$448:$H$480,B178:B588,[1]GL!$K$448:$K$487)</f>
        <v>0</v>
      </c>
      <c r="V178" s="102"/>
      <c r="W178" s="100"/>
      <c r="X178" s="101"/>
      <c r="Y178" s="353"/>
    </row>
    <row r="179" spans="1:25" s="105" customFormat="1" ht="15.75" customHeight="1">
      <c r="A179" s="93" t="s">
        <v>168</v>
      </c>
      <c r="B179" s="513">
        <v>452</v>
      </c>
      <c r="C179" s="106"/>
      <c r="D179" s="106"/>
      <c r="E179" s="94">
        <f t="shared" si="13"/>
        <v>11864007.116899967</v>
      </c>
      <c r="F179" s="653">
        <v>54599661.603100002</v>
      </c>
      <c r="G179" s="98"/>
      <c r="H179" s="99">
        <v>69004025.079999968</v>
      </c>
      <c r="I179" s="98">
        <f t="shared" si="9"/>
        <v>2788982.6399999997</v>
      </c>
      <c r="J179" s="98">
        <f t="shared" si="9"/>
        <v>248626.28</v>
      </c>
      <c r="K179" s="96">
        <f t="shared" si="10"/>
        <v>57388644.243100002</v>
      </c>
      <c r="L179" s="96"/>
      <c r="M179" s="96">
        <f t="shared" si="11"/>
        <v>69252651.35999997</v>
      </c>
      <c r="N179" s="107">
        <f>SUMIF([1]CRJ!$H$880:$H$894,B179:B584,[1]CRJ!$J$880:$J$894)</f>
        <v>2788982.6399999997</v>
      </c>
      <c r="O179" s="100">
        <f>SUMIF([1]CRJ!$H$880:$H$894,B179:B584,[1]CRJ!$K$880:$K$894)</f>
        <v>0</v>
      </c>
      <c r="P179" s="100">
        <f>SUMIF([1]ChkDJ!$H$849:$H$867,B179:B584,[1]ChkDJ!$J$849:$J$867)</f>
        <v>0</v>
      </c>
      <c r="Q179" s="100">
        <f>SUMIF([1]ChkDJ!$H$849:$H$867,B179:B584,[1]ChkDJ!$K$849:$K$867)</f>
        <v>0</v>
      </c>
      <c r="R179" s="100">
        <f>SUMIF([1]CDJ!$H$190:$H$197,B179:B584,[1]CDJ!$J$190:$J$197)</f>
        <v>0</v>
      </c>
      <c r="S179" s="100">
        <f>SUMIF([1]CDJ!$H$190:$H$197,B179:B584,[1]CDJ!$K$190:$K$197)</f>
        <v>0</v>
      </c>
      <c r="T179" s="102">
        <f>SUMIF([1]GL!$H$448:$H$480,B179:B589,[1]GL!$J$448:$J$487)</f>
        <v>0</v>
      </c>
      <c r="U179" s="100">
        <f>SUMIF([1]GL!$H$448:$H$480,B179:B589,[1]GL!$K$448:$K$487)</f>
        <v>248626.28</v>
      </c>
      <c r="V179" s="102"/>
      <c r="W179" s="100"/>
      <c r="X179" s="101"/>
      <c r="Y179" s="353"/>
    </row>
    <row r="180" spans="1:25" s="105" customFormat="1" ht="15.75">
      <c r="A180" s="93" t="s">
        <v>47</v>
      </c>
      <c r="B180" s="513">
        <v>455</v>
      </c>
      <c r="C180" s="106"/>
      <c r="D180" s="106"/>
      <c r="E180" s="94">
        <f t="shared" si="13"/>
        <v>24361059.779999994</v>
      </c>
      <c r="F180" s="653">
        <v>1669118.13</v>
      </c>
      <c r="G180" s="98"/>
      <c r="H180" s="99">
        <v>26025720.919999994</v>
      </c>
      <c r="I180" s="98">
        <f t="shared" si="9"/>
        <v>0</v>
      </c>
      <c r="J180" s="98">
        <f t="shared" si="9"/>
        <v>4456.9900000000007</v>
      </c>
      <c r="K180" s="96">
        <f t="shared" si="10"/>
        <v>1669118.13</v>
      </c>
      <c r="L180" s="96"/>
      <c r="M180" s="96">
        <f t="shared" si="11"/>
        <v>26030177.909999993</v>
      </c>
      <c r="N180" s="107">
        <f>SUMIF([1]CRJ!$H$880:$H$894,B180:B585,[1]CRJ!$J$880:$J$894)</f>
        <v>0</v>
      </c>
      <c r="O180" s="100">
        <f>SUMIF([1]CRJ!$H$880:$H$894,B180:B585,[1]CRJ!$K$880:$K$894)</f>
        <v>4456.9900000000007</v>
      </c>
      <c r="P180" s="100">
        <f>SUMIF([1]ChkDJ!$H$849:$H$867,B180:B585,[1]ChkDJ!$J$849:$J$867)</f>
        <v>0</v>
      </c>
      <c r="Q180" s="100">
        <f>SUMIF([1]ChkDJ!$H$849:$H$867,B180:B585,[1]ChkDJ!$K$849:$K$867)</f>
        <v>0</v>
      </c>
      <c r="R180" s="100">
        <f>SUMIF([1]CDJ!$H$190:$H$197,B180:B585,[1]CDJ!$J$190:$J$197)</f>
        <v>0</v>
      </c>
      <c r="S180" s="100">
        <f>SUMIF([1]CDJ!$H$190:$H$197,B180:B585,[1]CDJ!$K$190:$K$197)</f>
        <v>0</v>
      </c>
      <c r="T180" s="102">
        <f>SUMIF([1]GL!$H$448:$H$480,B180:B590,[1]GL!$J$448:$J$487)</f>
        <v>0</v>
      </c>
      <c r="U180" s="100">
        <f>SUMIF([1]GL!$H$448:$H$480,B180:B590,[1]GL!$K$448:$K$487)</f>
        <v>0</v>
      </c>
      <c r="V180" s="102"/>
      <c r="W180" s="100"/>
      <c r="X180" s="101"/>
      <c r="Y180" s="353"/>
    </row>
    <row r="181" spans="1:25" s="105" customFormat="1" ht="15.75">
      <c r="A181" s="93" t="s">
        <v>48</v>
      </c>
      <c r="B181" s="513">
        <v>501</v>
      </c>
      <c r="C181" s="106"/>
      <c r="D181" s="106"/>
      <c r="E181" s="94">
        <f t="shared" si="13"/>
        <v>143862384.54999998</v>
      </c>
      <c r="F181" s="653">
        <v>0</v>
      </c>
      <c r="G181" s="98"/>
      <c r="H181" s="99">
        <v>143862384.54999998</v>
      </c>
      <c r="I181" s="98">
        <f t="shared" si="9"/>
        <v>0</v>
      </c>
      <c r="J181" s="98">
        <f t="shared" si="9"/>
        <v>0</v>
      </c>
      <c r="K181" s="96">
        <f t="shared" si="10"/>
        <v>0</v>
      </c>
      <c r="L181" s="96"/>
      <c r="M181" s="96">
        <f t="shared" si="11"/>
        <v>143862384.54999998</v>
      </c>
      <c r="N181" s="107">
        <f>SUMIF([1]CRJ!$H$880:$H$894,B181:B586,[1]CRJ!$J$880:$J$894)</f>
        <v>0</v>
      </c>
      <c r="O181" s="100">
        <f>SUMIF([1]CRJ!$H$880:$H$894,B181:B586,[1]CRJ!$K$880:$K$894)</f>
        <v>0</v>
      </c>
      <c r="P181" s="100">
        <f>SUMIF([1]ChkDJ!$H$849:$H$867,B181:B586,[1]ChkDJ!$J$849:$J$867)</f>
        <v>0</v>
      </c>
      <c r="Q181" s="100">
        <f>SUMIF([1]ChkDJ!$H$849:$H$867,B181:B586,[1]ChkDJ!$K$849:$K$867)</f>
        <v>0</v>
      </c>
      <c r="R181" s="100">
        <f>SUMIF([1]CDJ!$H$190:$H$197,B181:B586,[1]CDJ!$J$190:$J$197)</f>
        <v>0</v>
      </c>
      <c r="S181" s="100">
        <f>SUMIF([1]CDJ!$H$190:$H$197,B181:B586,[1]CDJ!$K$190:$K$197)</f>
        <v>0</v>
      </c>
      <c r="T181" s="102">
        <f>SUMIF([1]GL!$H$448:$H$480,B181:B591,[1]GL!$J$448:$J$487)</f>
        <v>0</v>
      </c>
      <c r="U181" s="100">
        <f>SUMIF([1]GL!$H$448:$H$480,B181:B591,[1]GL!$K$448:$K$487)</f>
        <v>0</v>
      </c>
      <c r="V181" s="102"/>
      <c r="W181" s="100"/>
      <c r="X181" s="101"/>
      <c r="Y181" s="353"/>
    </row>
    <row r="182" spans="1:25" s="350" customFormat="1" ht="15.75" hidden="1" customHeight="1">
      <c r="A182" s="419" t="s">
        <v>634</v>
      </c>
      <c r="B182" s="423">
        <v>511</v>
      </c>
      <c r="C182" s="94">
        <f>+K182-M182</f>
        <v>0</v>
      </c>
      <c r="D182" s="94"/>
      <c r="E182" s="420"/>
      <c r="F182" s="650">
        <v>0</v>
      </c>
      <c r="G182" s="651"/>
      <c r="H182" s="593">
        <v>0</v>
      </c>
      <c r="I182" s="98">
        <f t="shared" si="9"/>
        <v>0</v>
      </c>
      <c r="J182" s="98">
        <f t="shared" si="9"/>
        <v>0</v>
      </c>
      <c r="K182" s="96">
        <f t="shared" si="10"/>
        <v>0</v>
      </c>
      <c r="L182" s="96"/>
      <c r="M182" s="96">
        <f t="shared" si="11"/>
        <v>0</v>
      </c>
      <c r="N182" s="107">
        <f>SUMIF([1]CRJ!$H$880:$H$894,B182:B587,[1]CRJ!$J$880:$J$894)</f>
        <v>0</v>
      </c>
      <c r="O182" s="100">
        <f>SUMIF([1]CRJ!$H$880:$H$894,B182:B587,[1]CRJ!$K$880:$K$894)</f>
        <v>0</v>
      </c>
      <c r="P182" s="100">
        <f>SUMIF([1]ChkDJ!$H$849:$H$867,B182:B587,[1]ChkDJ!$J$849:$J$867)</f>
        <v>0</v>
      </c>
      <c r="Q182" s="100">
        <f>SUMIF([1]ChkDJ!$H$849:$H$867,B182:B587,[1]ChkDJ!$K$849:$K$867)</f>
        <v>0</v>
      </c>
      <c r="R182" s="100">
        <f>SUMIF([1]CDJ!$H$190:$H$197,B182:B587,[1]CDJ!$J$190:$J$197)</f>
        <v>0</v>
      </c>
      <c r="S182" s="100">
        <f>SUMIF([1]CDJ!$H$190:$H$197,B182:B587,[1]CDJ!$K$190:$K$197)</f>
        <v>0</v>
      </c>
      <c r="T182" s="102">
        <f>SUMIF([1]GL!$H$448:$H$480,B182:B592,[1]GL!$J$448:$J$487)</f>
        <v>0</v>
      </c>
      <c r="U182" s="100">
        <f>SUMIF([1]GL!$H$448:$H$480,B182:B592,[1]GL!$K$448:$K$487)</f>
        <v>0</v>
      </c>
      <c r="V182" s="102"/>
      <c r="W182" s="100"/>
      <c r="X182" s="101"/>
      <c r="Y182" s="353"/>
    </row>
    <row r="183" spans="1:25" s="350" customFormat="1" ht="15.75" hidden="1" customHeight="1">
      <c r="A183" s="419" t="s">
        <v>978</v>
      </c>
      <c r="B183" s="423">
        <v>512</v>
      </c>
      <c r="C183" s="94"/>
      <c r="D183" s="94"/>
      <c r="E183" s="94">
        <f t="shared" si="13"/>
        <v>0</v>
      </c>
      <c r="F183" s="650">
        <v>0</v>
      </c>
      <c r="G183" s="651"/>
      <c r="H183" s="593">
        <v>0</v>
      </c>
      <c r="I183" s="98">
        <f t="shared" si="9"/>
        <v>0</v>
      </c>
      <c r="J183" s="98">
        <f t="shared" si="9"/>
        <v>0</v>
      </c>
      <c r="K183" s="96">
        <f t="shared" si="10"/>
        <v>0</v>
      </c>
      <c r="L183" s="96"/>
      <c r="M183" s="96">
        <f t="shared" si="11"/>
        <v>0</v>
      </c>
      <c r="N183" s="107">
        <f>SUMIF([1]CRJ!$H$880:$H$894,B183:B588,[1]CRJ!$J$880:$J$894)</f>
        <v>0</v>
      </c>
      <c r="O183" s="100">
        <f>SUMIF([1]CRJ!$H$880:$H$894,B183:B588,[1]CRJ!$K$880:$K$894)</f>
        <v>0</v>
      </c>
      <c r="P183" s="100">
        <f>SUMIF([1]ChkDJ!$H$849:$H$867,B183:B588,[1]ChkDJ!$J$849:$J$867)</f>
        <v>0</v>
      </c>
      <c r="Q183" s="100">
        <f>SUMIF([1]ChkDJ!$H$849:$H$867,B183:B588,[1]ChkDJ!$K$849:$K$867)</f>
        <v>0</v>
      </c>
      <c r="R183" s="100">
        <f>SUMIF([1]CDJ!$H$190:$H$197,B183:B588,[1]CDJ!$J$190:$J$197)</f>
        <v>0</v>
      </c>
      <c r="S183" s="100">
        <f>SUMIF([1]CDJ!$H$190:$H$197,B183:B588,[1]CDJ!$K$190:$K$197)</f>
        <v>0</v>
      </c>
      <c r="T183" s="102">
        <f>SUMIF([1]GL!$H$448:$H$480,B183:B593,[1]GL!$J$448:$J$487)</f>
        <v>0</v>
      </c>
      <c r="U183" s="100">
        <f>SUMIF([1]GL!$H$448:$H$480,B183:B593,[1]GL!$K$448:$K$487)</f>
        <v>0</v>
      </c>
      <c r="V183" s="102"/>
      <c r="W183" s="100"/>
      <c r="X183" s="101"/>
      <c r="Y183" s="353"/>
    </row>
    <row r="184" spans="1:25" s="105" customFormat="1" ht="15.75" hidden="1">
      <c r="A184" s="93" t="s">
        <v>265</v>
      </c>
      <c r="B184" s="513">
        <v>513</v>
      </c>
      <c r="C184" s="94"/>
      <c r="D184" s="94"/>
      <c r="E184" s="94">
        <f t="shared" si="13"/>
        <v>0</v>
      </c>
      <c r="F184" s="653">
        <v>0</v>
      </c>
      <c r="G184" s="98"/>
      <c r="H184" s="96">
        <v>0</v>
      </c>
      <c r="I184" s="98">
        <f t="shared" si="9"/>
        <v>0</v>
      </c>
      <c r="J184" s="98">
        <f t="shared" si="9"/>
        <v>0</v>
      </c>
      <c r="K184" s="96">
        <f t="shared" si="10"/>
        <v>0</v>
      </c>
      <c r="L184" s="96"/>
      <c r="M184" s="96">
        <f t="shared" si="11"/>
        <v>0</v>
      </c>
      <c r="N184" s="107">
        <f>SUMIF([1]CRJ!$H$880:$H$894,B184:B589,[1]CRJ!$J$880:$J$894)</f>
        <v>0</v>
      </c>
      <c r="O184" s="100">
        <f>SUMIF([1]CRJ!$H$880:$H$894,B184:B589,[1]CRJ!$K$880:$K$894)</f>
        <v>0</v>
      </c>
      <c r="P184" s="100">
        <f>SUMIF([1]ChkDJ!$H$849:$H$867,B184:B589,[1]ChkDJ!$J$849:$J$867)</f>
        <v>0</v>
      </c>
      <c r="Q184" s="100">
        <f>SUMIF([1]ChkDJ!$H$849:$H$867,B184:B589,[1]ChkDJ!$K$849:$K$867)</f>
        <v>0</v>
      </c>
      <c r="R184" s="100">
        <f>SUMIF([1]CDJ!$H$190:$H$197,B184:B589,[1]CDJ!$J$190:$J$197)</f>
        <v>0</v>
      </c>
      <c r="S184" s="100">
        <f>SUMIF([1]CDJ!$H$190:$H$197,B184:B589,[1]CDJ!$K$190:$K$197)</f>
        <v>0</v>
      </c>
      <c r="T184" s="102">
        <f>SUMIF([1]GL!$H$448:$H$480,B184:B594,[1]GL!$J$448:$J$487)</f>
        <v>0</v>
      </c>
      <c r="U184" s="100">
        <f>SUMIF([1]GL!$H$448:$H$480,B184:B594,[1]GL!$K$448:$K$487)</f>
        <v>0</v>
      </c>
      <c r="V184" s="102"/>
      <c r="W184" s="100"/>
      <c r="X184" s="101"/>
      <c r="Y184" s="353"/>
    </row>
    <row r="185" spans="1:25" s="350" customFormat="1" ht="15.75" hidden="1" customHeight="1">
      <c r="A185" s="419" t="s">
        <v>635</v>
      </c>
      <c r="B185" s="423">
        <v>581</v>
      </c>
      <c r="C185" s="424"/>
      <c r="D185" s="424"/>
      <c r="E185" s="94">
        <f t="shared" si="13"/>
        <v>0</v>
      </c>
      <c r="F185" s="650">
        <v>0</v>
      </c>
      <c r="G185" s="651"/>
      <c r="H185" s="593">
        <v>0</v>
      </c>
      <c r="I185" s="98">
        <f t="shared" si="9"/>
        <v>0</v>
      </c>
      <c r="J185" s="98">
        <f t="shared" si="9"/>
        <v>0</v>
      </c>
      <c r="K185" s="96">
        <f t="shared" si="10"/>
        <v>0</v>
      </c>
      <c r="L185" s="96"/>
      <c r="M185" s="96">
        <f t="shared" si="11"/>
        <v>0</v>
      </c>
      <c r="N185" s="107">
        <f>SUMIF([1]CRJ!$H$880:$H$894,B185:B590,[1]CRJ!$J$880:$J$894)</f>
        <v>0</v>
      </c>
      <c r="O185" s="100">
        <f>SUMIF([1]CRJ!$H$880:$H$894,B185:B590,[1]CRJ!$K$880:$K$894)</f>
        <v>0</v>
      </c>
      <c r="P185" s="100">
        <f>SUMIF([1]ChkDJ!$H$849:$H$867,B185:B590,[1]ChkDJ!$J$849:$J$867)</f>
        <v>0</v>
      </c>
      <c r="Q185" s="100">
        <f>SUMIF([1]ChkDJ!$H$849:$H$867,B185:B590,[1]ChkDJ!$K$849:$K$867)</f>
        <v>0</v>
      </c>
      <c r="R185" s="100">
        <f>SUMIF([1]CDJ!$H$190:$H$197,B185:B590,[1]CDJ!$J$190:$J$197)</f>
        <v>0</v>
      </c>
      <c r="S185" s="100">
        <f>SUMIF([1]CDJ!$H$190:$H$197,B185:B590,[1]CDJ!$K$190:$K$197)</f>
        <v>0</v>
      </c>
      <c r="T185" s="102">
        <f>SUMIF([1]GL!$H$448:$H$480,B185:B595,[1]GL!$J$448:$J$487)</f>
        <v>0</v>
      </c>
      <c r="U185" s="100">
        <f>SUMIF([1]GL!$H$448:$H$480,B185:B595,[1]GL!$K$448:$K$487)</f>
        <v>0</v>
      </c>
      <c r="V185" s="102"/>
      <c r="W185" s="100"/>
      <c r="X185" s="101"/>
      <c r="Y185" s="353"/>
    </row>
    <row r="186" spans="1:25" s="350" customFormat="1" ht="15.75" hidden="1" customHeight="1">
      <c r="A186" s="419" t="s">
        <v>636</v>
      </c>
      <c r="B186" s="423">
        <v>582</v>
      </c>
      <c r="C186" s="424"/>
      <c r="D186" s="424"/>
      <c r="E186" s="94">
        <f t="shared" si="13"/>
        <v>0</v>
      </c>
      <c r="F186" s="650">
        <v>0</v>
      </c>
      <c r="G186" s="651"/>
      <c r="H186" s="593">
        <v>0</v>
      </c>
      <c r="I186" s="98">
        <f t="shared" si="9"/>
        <v>0</v>
      </c>
      <c r="J186" s="98">
        <f t="shared" si="9"/>
        <v>0</v>
      </c>
      <c r="K186" s="96">
        <f t="shared" si="10"/>
        <v>0</v>
      </c>
      <c r="L186" s="96"/>
      <c r="M186" s="96">
        <f t="shared" si="11"/>
        <v>0</v>
      </c>
      <c r="N186" s="107">
        <f>SUMIF([1]CRJ!$H$880:$H$894,B186:B591,[1]CRJ!$J$880:$J$894)</f>
        <v>0</v>
      </c>
      <c r="O186" s="100">
        <f>SUMIF([1]CRJ!$H$880:$H$894,B186:B591,[1]CRJ!$K$880:$K$894)</f>
        <v>0</v>
      </c>
      <c r="P186" s="100">
        <f>SUMIF([1]ChkDJ!$H$849:$H$867,B186:B591,[1]ChkDJ!$J$849:$J$867)</f>
        <v>0</v>
      </c>
      <c r="Q186" s="100">
        <f>SUMIF([1]ChkDJ!$H$849:$H$867,B186:B591,[1]ChkDJ!$K$849:$K$867)</f>
        <v>0</v>
      </c>
      <c r="R186" s="100">
        <f>SUMIF([1]CDJ!$H$190:$H$197,B186:B591,[1]CDJ!$J$190:$J$197)</f>
        <v>0</v>
      </c>
      <c r="S186" s="100">
        <f>SUMIF([1]CDJ!$H$190:$H$197,B186:B591,[1]CDJ!$K$190:$K$197)</f>
        <v>0</v>
      </c>
      <c r="T186" s="102">
        <f>SUMIF([1]GL!$H$448:$H$480,B186:B596,[1]GL!$J$448:$J$487)</f>
        <v>0</v>
      </c>
      <c r="U186" s="100">
        <f>SUMIF([1]GL!$H$448:$H$480,B186:B596,[1]GL!$K$448:$K$487)</f>
        <v>0</v>
      </c>
      <c r="V186" s="102"/>
      <c r="W186" s="100"/>
      <c r="X186" s="101"/>
      <c r="Y186" s="353"/>
    </row>
    <row r="187" spans="1:25" s="350" customFormat="1" ht="15.75" hidden="1" customHeight="1">
      <c r="A187" s="419" t="s">
        <v>637</v>
      </c>
      <c r="B187" s="423">
        <v>583</v>
      </c>
      <c r="C187" s="424"/>
      <c r="D187" s="424"/>
      <c r="E187" s="94">
        <f t="shared" si="13"/>
        <v>0</v>
      </c>
      <c r="F187" s="650">
        <v>0</v>
      </c>
      <c r="G187" s="651"/>
      <c r="H187" s="593">
        <v>0</v>
      </c>
      <c r="I187" s="98">
        <f t="shared" si="9"/>
        <v>0</v>
      </c>
      <c r="J187" s="98">
        <f t="shared" si="9"/>
        <v>0</v>
      </c>
      <c r="K187" s="96">
        <f t="shared" si="10"/>
        <v>0</v>
      </c>
      <c r="L187" s="96"/>
      <c r="M187" s="96">
        <f t="shared" si="11"/>
        <v>0</v>
      </c>
      <c r="N187" s="107">
        <f>SUMIF([1]CRJ!$H$880:$H$894,B187:B592,[1]CRJ!$J$880:$J$894)</f>
        <v>0</v>
      </c>
      <c r="O187" s="100">
        <f>SUMIF([1]CRJ!$H$880:$H$894,B187:B592,[1]CRJ!$K$880:$K$894)</f>
        <v>0</v>
      </c>
      <c r="P187" s="100">
        <f>SUMIF([1]ChkDJ!$H$849:$H$867,B187:B592,[1]ChkDJ!$J$849:$J$867)</f>
        <v>0</v>
      </c>
      <c r="Q187" s="100">
        <f>SUMIF([1]ChkDJ!$H$849:$H$867,B187:B592,[1]ChkDJ!$K$849:$K$867)</f>
        <v>0</v>
      </c>
      <c r="R187" s="100">
        <f>SUMIF([1]CDJ!$H$190:$H$197,B187:B592,[1]CDJ!$J$190:$J$197)</f>
        <v>0</v>
      </c>
      <c r="S187" s="100">
        <f>SUMIF([1]CDJ!$H$190:$H$197,B187:B592,[1]CDJ!$K$190:$K$197)</f>
        <v>0</v>
      </c>
      <c r="T187" s="102">
        <f>SUMIF([1]GL!$H$448:$H$480,B187:B597,[1]GL!$J$448:$J$487)</f>
        <v>0</v>
      </c>
      <c r="U187" s="100">
        <f>SUMIF([1]GL!$H$448:$H$480,B187:B597,[1]GL!$K$448:$K$487)</f>
        <v>0</v>
      </c>
      <c r="V187" s="102"/>
      <c r="W187" s="100"/>
      <c r="X187" s="101"/>
      <c r="Y187" s="353"/>
    </row>
    <row r="188" spans="1:25" s="350" customFormat="1" ht="15.75" hidden="1" customHeight="1">
      <c r="A188" s="419" t="s">
        <v>638</v>
      </c>
      <c r="B188" s="423">
        <v>584</v>
      </c>
      <c r="C188" s="424"/>
      <c r="D188" s="424"/>
      <c r="E188" s="94">
        <f t="shared" si="13"/>
        <v>0</v>
      </c>
      <c r="F188" s="650">
        <v>0</v>
      </c>
      <c r="G188" s="651"/>
      <c r="H188" s="593">
        <v>0</v>
      </c>
      <c r="I188" s="98">
        <f t="shared" si="9"/>
        <v>0</v>
      </c>
      <c r="J188" s="98">
        <f t="shared" si="9"/>
        <v>0</v>
      </c>
      <c r="K188" s="96">
        <f t="shared" si="10"/>
        <v>0</v>
      </c>
      <c r="L188" s="96"/>
      <c r="M188" s="96">
        <f t="shared" si="11"/>
        <v>0</v>
      </c>
      <c r="N188" s="107">
        <f>SUMIF([1]CRJ!$H$880:$H$894,B188:B593,[1]CRJ!$J$880:$J$894)</f>
        <v>0</v>
      </c>
      <c r="O188" s="100">
        <f>SUMIF([1]CRJ!$H$880:$H$894,B188:B593,[1]CRJ!$K$880:$K$894)</f>
        <v>0</v>
      </c>
      <c r="P188" s="100">
        <f>SUMIF([1]ChkDJ!$H$849:$H$867,B188:B593,[1]ChkDJ!$J$849:$J$867)</f>
        <v>0</v>
      </c>
      <c r="Q188" s="100">
        <f>SUMIF([1]ChkDJ!$H$849:$H$867,B188:B593,[1]ChkDJ!$K$849:$K$867)</f>
        <v>0</v>
      </c>
      <c r="R188" s="100">
        <f>SUMIF([1]CDJ!$H$190:$H$197,B188:B593,[1]CDJ!$J$190:$J$197)</f>
        <v>0</v>
      </c>
      <c r="S188" s="100">
        <f>SUMIF([1]CDJ!$H$190:$H$197,B188:B593,[1]CDJ!$K$190:$K$197)</f>
        <v>0</v>
      </c>
      <c r="T188" s="102">
        <f>SUMIF([1]GL!$H$448:$H$480,B188:B598,[1]GL!$J$448:$J$487)</f>
        <v>0</v>
      </c>
      <c r="U188" s="100">
        <f>SUMIF([1]GL!$H$448:$H$480,B188:B598,[1]GL!$K$448:$K$487)</f>
        <v>0</v>
      </c>
      <c r="V188" s="102"/>
      <c r="W188" s="100"/>
      <c r="X188" s="101"/>
      <c r="Y188" s="353"/>
    </row>
    <row r="189" spans="1:25" s="350" customFormat="1" ht="15.75" hidden="1" customHeight="1">
      <c r="A189" s="419" t="s">
        <v>639</v>
      </c>
      <c r="B189" s="423">
        <v>585</v>
      </c>
      <c r="C189" s="424"/>
      <c r="D189" s="424"/>
      <c r="E189" s="94">
        <f t="shared" si="13"/>
        <v>0</v>
      </c>
      <c r="F189" s="650">
        <v>0</v>
      </c>
      <c r="G189" s="651"/>
      <c r="H189" s="593">
        <v>0</v>
      </c>
      <c r="I189" s="98">
        <f t="shared" si="9"/>
        <v>0</v>
      </c>
      <c r="J189" s="98">
        <f t="shared" si="9"/>
        <v>0</v>
      </c>
      <c r="K189" s="96">
        <f t="shared" si="10"/>
        <v>0</v>
      </c>
      <c r="L189" s="96"/>
      <c r="M189" s="96">
        <f t="shared" si="11"/>
        <v>0</v>
      </c>
      <c r="N189" s="107">
        <f>SUMIF([1]CRJ!$H$880:$H$894,B189:B594,[1]CRJ!$J$880:$J$894)</f>
        <v>0</v>
      </c>
      <c r="O189" s="100">
        <f>SUMIF([1]CRJ!$H$880:$H$894,B189:B594,[1]CRJ!$K$880:$K$894)</f>
        <v>0</v>
      </c>
      <c r="P189" s="100">
        <f>SUMIF([1]ChkDJ!$H$849:$H$867,B189:B594,[1]ChkDJ!$J$849:$J$867)</f>
        <v>0</v>
      </c>
      <c r="Q189" s="100">
        <f>SUMIF([1]ChkDJ!$H$849:$H$867,B189:B594,[1]ChkDJ!$K$849:$K$867)</f>
        <v>0</v>
      </c>
      <c r="R189" s="100">
        <f>SUMIF([1]CDJ!$H$190:$H$197,B189:B594,[1]CDJ!$J$190:$J$197)</f>
        <v>0</v>
      </c>
      <c r="S189" s="100">
        <f>SUMIF([1]CDJ!$H$190:$H$197,B189:B594,[1]CDJ!$K$190:$K$197)</f>
        <v>0</v>
      </c>
      <c r="T189" s="102">
        <f>SUMIF([1]GL!$H$448:$H$480,B189:B599,[1]GL!$J$448:$J$487)</f>
        <v>0</v>
      </c>
      <c r="U189" s="100">
        <f>SUMIF([1]GL!$H$448:$H$480,B189:B599,[1]GL!$K$448:$K$487)</f>
        <v>0</v>
      </c>
      <c r="V189" s="102"/>
      <c r="W189" s="100"/>
      <c r="X189" s="101"/>
      <c r="Y189" s="353"/>
    </row>
    <row r="190" spans="1:25" s="350" customFormat="1" ht="15.75" hidden="1" customHeight="1">
      <c r="A190" s="419" t="s">
        <v>640</v>
      </c>
      <c r="B190" s="423">
        <v>586</v>
      </c>
      <c r="C190" s="424"/>
      <c r="D190" s="424"/>
      <c r="E190" s="94">
        <f t="shared" si="13"/>
        <v>0</v>
      </c>
      <c r="F190" s="650">
        <v>0</v>
      </c>
      <c r="G190" s="651"/>
      <c r="H190" s="593">
        <v>0</v>
      </c>
      <c r="I190" s="98">
        <f t="shared" si="9"/>
        <v>0</v>
      </c>
      <c r="J190" s="98">
        <f t="shared" si="9"/>
        <v>0</v>
      </c>
      <c r="K190" s="96">
        <f t="shared" si="10"/>
        <v>0</v>
      </c>
      <c r="L190" s="96"/>
      <c r="M190" s="96">
        <f t="shared" si="11"/>
        <v>0</v>
      </c>
      <c r="N190" s="107">
        <f>SUMIF([1]CRJ!$H$880:$H$894,B190:B595,[1]CRJ!$J$880:$J$894)</f>
        <v>0</v>
      </c>
      <c r="O190" s="100">
        <f>SUMIF([1]CRJ!$H$880:$H$894,B190:B595,[1]CRJ!$K$880:$K$894)</f>
        <v>0</v>
      </c>
      <c r="P190" s="100">
        <f>SUMIF([1]ChkDJ!$H$849:$H$867,B190:B595,[1]ChkDJ!$J$849:$J$867)</f>
        <v>0</v>
      </c>
      <c r="Q190" s="100">
        <f>SUMIF([1]ChkDJ!$H$849:$H$867,B190:B595,[1]ChkDJ!$K$849:$K$867)</f>
        <v>0</v>
      </c>
      <c r="R190" s="100">
        <f>SUMIF([1]CDJ!$H$190:$H$197,B190:B595,[1]CDJ!$J$190:$J$197)</f>
        <v>0</v>
      </c>
      <c r="S190" s="100">
        <f>SUMIF([1]CDJ!$H$190:$H$197,B190:B595,[1]CDJ!$K$190:$K$197)</f>
        <v>0</v>
      </c>
      <c r="T190" s="102">
        <f>SUMIF([1]GL!$H$448:$H$480,B190:B600,[1]GL!$J$448:$J$487)</f>
        <v>0</v>
      </c>
      <c r="U190" s="100">
        <f>SUMIF([1]GL!$H$448:$H$480,B190:B600,[1]GL!$K$448:$K$487)</f>
        <v>0</v>
      </c>
      <c r="V190" s="102"/>
      <c r="W190" s="100"/>
      <c r="X190" s="101"/>
      <c r="Y190" s="353"/>
    </row>
    <row r="191" spans="1:25" s="350" customFormat="1" ht="15.75" hidden="1" customHeight="1">
      <c r="A191" s="419" t="s">
        <v>641</v>
      </c>
      <c r="B191" s="423">
        <v>587</v>
      </c>
      <c r="C191" s="424"/>
      <c r="D191" s="424"/>
      <c r="E191" s="94">
        <f t="shared" si="13"/>
        <v>0</v>
      </c>
      <c r="F191" s="650">
        <v>0</v>
      </c>
      <c r="G191" s="651"/>
      <c r="H191" s="593">
        <v>0</v>
      </c>
      <c r="I191" s="98">
        <f t="shared" si="9"/>
        <v>0</v>
      </c>
      <c r="J191" s="98">
        <f t="shared" si="9"/>
        <v>0</v>
      </c>
      <c r="K191" s="96">
        <f t="shared" si="10"/>
        <v>0</v>
      </c>
      <c r="L191" s="96"/>
      <c r="M191" s="96">
        <f t="shared" si="11"/>
        <v>0</v>
      </c>
      <c r="N191" s="107">
        <f>SUMIF([1]CRJ!$H$880:$H$894,B191:B596,[1]CRJ!$J$880:$J$894)</f>
        <v>0</v>
      </c>
      <c r="O191" s="100">
        <f>SUMIF([1]CRJ!$H$880:$H$894,B191:B596,[1]CRJ!$K$880:$K$894)</f>
        <v>0</v>
      </c>
      <c r="P191" s="100">
        <f>SUMIF([1]ChkDJ!$H$849:$H$867,B191:B596,[1]ChkDJ!$J$849:$J$867)</f>
        <v>0</v>
      </c>
      <c r="Q191" s="100">
        <f>SUMIF([1]ChkDJ!$H$849:$H$867,B191:B596,[1]ChkDJ!$K$849:$K$867)</f>
        <v>0</v>
      </c>
      <c r="R191" s="100">
        <f>SUMIF([1]CDJ!$H$190:$H$197,B191:B596,[1]CDJ!$J$190:$J$197)</f>
        <v>0</v>
      </c>
      <c r="S191" s="100">
        <f>SUMIF([1]CDJ!$H$190:$H$197,B191:B596,[1]CDJ!$K$190:$K$197)</f>
        <v>0</v>
      </c>
      <c r="T191" s="102">
        <f>SUMIF([1]GL!$H$448:$H$480,B191:B601,[1]GL!$J$448:$J$487)</f>
        <v>0</v>
      </c>
      <c r="U191" s="100">
        <f>SUMIF([1]GL!$H$448:$H$480,B191:B601,[1]GL!$K$448:$K$487)</f>
        <v>0</v>
      </c>
      <c r="V191" s="102"/>
      <c r="W191" s="100"/>
      <c r="X191" s="101"/>
      <c r="Y191" s="353"/>
    </row>
    <row r="192" spans="1:25" s="350" customFormat="1" ht="15.75" hidden="1" customHeight="1">
      <c r="A192" s="419" t="s">
        <v>642</v>
      </c>
      <c r="B192" s="423">
        <v>588</v>
      </c>
      <c r="C192" s="424"/>
      <c r="D192" s="424"/>
      <c r="E192" s="94">
        <f t="shared" si="13"/>
        <v>0</v>
      </c>
      <c r="F192" s="650">
        <v>0</v>
      </c>
      <c r="G192" s="651"/>
      <c r="H192" s="593">
        <v>0</v>
      </c>
      <c r="I192" s="98">
        <f t="shared" si="9"/>
        <v>0</v>
      </c>
      <c r="J192" s="98">
        <f t="shared" si="9"/>
        <v>0</v>
      </c>
      <c r="K192" s="96">
        <f t="shared" si="10"/>
        <v>0</v>
      </c>
      <c r="L192" s="96"/>
      <c r="M192" s="96">
        <f t="shared" si="11"/>
        <v>0</v>
      </c>
      <c r="N192" s="107">
        <f>SUMIF([1]CRJ!$H$880:$H$894,B192:B597,[1]CRJ!$J$880:$J$894)</f>
        <v>0</v>
      </c>
      <c r="O192" s="100">
        <f>SUMIF([1]CRJ!$H$880:$H$894,B192:B597,[1]CRJ!$K$880:$K$894)</f>
        <v>0</v>
      </c>
      <c r="P192" s="100">
        <f>SUMIF([1]ChkDJ!$H$849:$H$867,B192:B597,[1]ChkDJ!$J$849:$J$867)</f>
        <v>0</v>
      </c>
      <c r="Q192" s="100">
        <f>SUMIF([1]ChkDJ!$H$849:$H$867,B192:B597,[1]ChkDJ!$K$849:$K$867)</f>
        <v>0</v>
      </c>
      <c r="R192" s="100">
        <f>SUMIF([1]CDJ!$H$190:$H$197,B192:B597,[1]CDJ!$J$190:$J$197)</f>
        <v>0</v>
      </c>
      <c r="S192" s="100">
        <f>SUMIF([1]CDJ!$H$190:$H$197,B192:B597,[1]CDJ!$K$190:$K$197)</f>
        <v>0</v>
      </c>
      <c r="T192" s="102">
        <f>SUMIF([1]GL!$H$448:$H$480,B192:B602,[1]GL!$J$448:$J$487)</f>
        <v>0</v>
      </c>
      <c r="U192" s="100">
        <f>SUMIF([1]GL!$H$448:$H$480,B192:B602,[1]GL!$K$448:$K$487)</f>
        <v>0</v>
      </c>
      <c r="V192" s="102"/>
      <c r="W192" s="100"/>
      <c r="X192" s="101"/>
      <c r="Y192" s="353"/>
    </row>
    <row r="193" spans="1:25" s="350" customFormat="1" ht="15.75" hidden="1" customHeight="1">
      <c r="A193" s="419" t="s">
        <v>643</v>
      </c>
      <c r="B193" s="423">
        <v>589</v>
      </c>
      <c r="C193" s="424"/>
      <c r="D193" s="424"/>
      <c r="E193" s="94">
        <f t="shared" si="13"/>
        <v>0</v>
      </c>
      <c r="F193" s="650">
        <v>0</v>
      </c>
      <c r="G193" s="651"/>
      <c r="H193" s="593">
        <v>0</v>
      </c>
      <c r="I193" s="98">
        <f t="shared" si="9"/>
        <v>0</v>
      </c>
      <c r="J193" s="98">
        <f t="shared" si="9"/>
        <v>0</v>
      </c>
      <c r="K193" s="96">
        <f t="shared" si="10"/>
        <v>0</v>
      </c>
      <c r="L193" s="96"/>
      <c r="M193" s="96">
        <f t="shared" si="11"/>
        <v>0</v>
      </c>
      <c r="N193" s="107">
        <f>SUMIF([1]CRJ!$H$880:$H$894,B193:B598,[1]CRJ!$J$880:$J$894)</f>
        <v>0</v>
      </c>
      <c r="O193" s="100">
        <f>SUMIF([1]CRJ!$H$880:$H$894,B193:B598,[1]CRJ!$K$880:$K$894)</f>
        <v>0</v>
      </c>
      <c r="P193" s="100">
        <f>SUMIF([1]ChkDJ!$H$849:$H$867,B193:B598,[1]ChkDJ!$J$849:$J$867)</f>
        <v>0</v>
      </c>
      <c r="Q193" s="100">
        <f>SUMIF([1]ChkDJ!$H$849:$H$867,B193:B598,[1]ChkDJ!$K$849:$K$867)</f>
        <v>0</v>
      </c>
      <c r="R193" s="100">
        <f>SUMIF([1]CDJ!$H$190:$H$197,B193:B598,[1]CDJ!$J$190:$J$197)</f>
        <v>0</v>
      </c>
      <c r="S193" s="100">
        <f>SUMIF([1]CDJ!$H$190:$H$197,B193:B598,[1]CDJ!$K$190:$K$197)</f>
        <v>0</v>
      </c>
      <c r="T193" s="102">
        <f>SUMIF([1]GL!$H$448:$H$480,B193:B603,[1]GL!$J$448:$J$487)</f>
        <v>0</v>
      </c>
      <c r="U193" s="100">
        <f>SUMIF([1]GL!$H$448:$H$480,B193:B603,[1]GL!$K$448:$K$487)</f>
        <v>0</v>
      </c>
      <c r="V193" s="102"/>
      <c r="W193" s="100"/>
      <c r="X193" s="101"/>
      <c r="Y193" s="353"/>
    </row>
    <row r="194" spans="1:25" s="350" customFormat="1" ht="15.75" hidden="1" customHeight="1">
      <c r="A194" s="419" t="s">
        <v>644</v>
      </c>
      <c r="B194" s="423">
        <v>590</v>
      </c>
      <c r="C194" s="424"/>
      <c r="D194" s="424"/>
      <c r="E194" s="94">
        <f t="shared" si="13"/>
        <v>0</v>
      </c>
      <c r="F194" s="650">
        <v>0</v>
      </c>
      <c r="G194" s="651"/>
      <c r="H194" s="593">
        <v>0</v>
      </c>
      <c r="I194" s="98">
        <f t="shared" si="9"/>
        <v>0</v>
      </c>
      <c r="J194" s="98">
        <f t="shared" si="9"/>
        <v>0</v>
      </c>
      <c r="K194" s="96">
        <f t="shared" si="10"/>
        <v>0</v>
      </c>
      <c r="L194" s="96"/>
      <c r="M194" s="96">
        <f t="shared" si="11"/>
        <v>0</v>
      </c>
      <c r="N194" s="107">
        <f>SUMIF([1]CRJ!$H$880:$H$894,B194:B599,[1]CRJ!$J$880:$J$894)</f>
        <v>0</v>
      </c>
      <c r="O194" s="100">
        <f>SUMIF([1]CRJ!$H$880:$H$894,B194:B599,[1]CRJ!$K$880:$K$894)</f>
        <v>0</v>
      </c>
      <c r="P194" s="100">
        <f>SUMIF([1]ChkDJ!$H$849:$H$867,B194:B599,[1]ChkDJ!$J$849:$J$867)</f>
        <v>0</v>
      </c>
      <c r="Q194" s="100">
        <f>SUMIF([1]ChkDJ!$H$849:$H$867,B194:B599,[1]ChkDJ!$K$849:$K$867)</f>
        <v>0</v>
      </c>
      <c r="R194" s="100">
        <f>SUMIF([1]CDJ!$H$190:$H$197,B194:B599,[1]CDJ!$J$190:$J$197)</f>
        <v>0</v>
      </c>
      <c r="S194" s="100">
        <f>SUMIF([1]CDJ!$H$190:$H$197,B194:B599,[1]CDJ!$K$190:$K$197)</f>
        <v>0</v>
      </c>
      <c r="T194" s="102">
        <f>SUMIF([1]GL!$H$448:$H$480,B194:B604,[1]GL!$J$448:$J$487)</f>
        <v>0</v>
      </c>
      <c r="U194" s="100">
        <f>SUMIF([1]GL!$H$448:$H$480,B194:B604,[1]GL!$K$448:$K$487)</f>
        <v>0</v>
      </c>
      <c r="V194" s="102"/>
      <c r="W194" s="100"/>
      <c r="X194" s="101"/>
      <c r="Y194" s="353"/>
    </row>
    <row r="195" spans="1:25" s="105" customFormat="1" ht="15.75">
      <c r="A195" s="93" t="s">
        <v>94</v>
      </c>
      <c r="B195" s="513">
        <v>591</v>
      </c>
      <c r="C195" s="106"/>
      <c r="D195" s="106"/>
      <c r="E195" s="94">
        <f t="shared" si="13"/>
        <v>59435649.75</v>
      </c>
      <c r="F195" s="653">
        <v>9508.2999999999993</v>
      </c>
      <c r="G195" s="98"/>
      <c r="H195" s="96">
        <v>56606220.799999997</v>
      </c>
      <c r="I195" s="98">
        <f t="shared" si="9"/>
        <v>0</v>
      </c>
      <c r="J195" s="98">
        <f t="shared" si="9"/>
        <v>2838937.25</v>
      </c>
      <c r="K195" s="96">
        <f t="shared" si="10"/>
        <v>9508.2999999999993</v>
      </c>
      <c r="L195" s="96"/>
      <c r="M195" s="96">
        <f t="shared" si="11"/>
        <v>59445158.049999997</v>
      </c>
      <c r="N195" s="107">
        <f>SUMIF([1]CRJ!$H$880:$H$894,B195:B600,[1]CRJ!$J$880:$J$894)</f>
        <v>0</v>
      </c>
      <c r="O195" s="100">
        <f>SUMIF([1]CRJ!$H$880:$H$894,B195:B600,[1]CRJ!$K$880:$K$894)</f>
        <v>2838937.25</v>
      </c>
      <c r="P195" s="100">
        <f>SUMIF([1]ChkDJ!$H$849:$H$867,B195:B600,[1]ChkDJ!$J$849:$J$867)</f>
        <v>0</v>
      </c>
      <c r="Q195" s="100">
        <f>SUMIF([1]ChkDJ!$H$849:$H$867,B195:B600,[1]ChkDJ!$K$849:$K$867)</f>
        <v>0</v>
      </c>
      <c r="R195" s="100">
        <f>SUMIF([1]CDJ!$H$190:$H$197,B195:B600,[1]CDJ!$J$190:$J$197)</f>
        <v>0</v>
      </c>
      <c r="S195" s="100">
        <f>SUMIF([1]CDJ!$H$190:$H$197,B195:B600,[1]CDJ!$K$190:$K$197)</f>
        <v>0</v>
      </c>
      <c r="T195" s="102">
        <f>SUMIF([1]GL!$H$448:$H$480,B195:B605,[1]GL!$J$448:$J$487)</f>
        <v>0</v>
      </c>
      <c r="U195" s="100">
        <f>SUMIF([1]GL!$H$448:$H$480,B195:B605,[1]GL!$K$448:$K$487)</f>
        <v>0</v>
      </c>
      <c r="V195" s="102"/>
      <c r="W195" s="100"/>
      <c r="X195" s="101"/>
      <c r="Y195" s="353"/>
    </row>
    <row r="196" spans="1:25" s="350" customFormat="1" ht="15.75" hidden="1" customHeight="1">
      <c r="A196" s="419" t="s">
        <v>645</v>
      </c>
      <c r="B196" s="423">
        <v>592</v>
      </c>
      <c r="C196" s="424"/>
      <c r="D196" s="424"/>
      <c r="E196" s="94">
        <f t="shared" si="13"/>
        <v>0</v>
      </c>
      <c r="F196" s="650">
        <v>0</v>
      </c>
      <c r="G196" s="651"/>
      <c r="H196" s="593">
        <v>0</v>
      </c>
      <c r="I196" s="98">
        <f t="shared" si="9"/>
        <v>0</v>
      </c>
      <c r="J196" s="98">
        <f t="shared" si="9"/>
        <v>0</v>
      </c>
      <c r="K196" s="96">
        <f t="shared" si="10"/>
        <v>0</v>
      </c>
      <c r="L196" s="96"/>
      <c r="M196" s="96">
        <f t="shared" si="11"/>
        <v>0</v>
      </c>
      <c r="N196" s="107">
        <f>SUMIF([1]CRJ!$H$880:$H$894,B196:B601,[1]CRJ!$J$880:$J$894)</f>
        <v>0</v>
      </c>
      <c r="O196" s="100">
        <f>SUMIF([1]CRJ!$H$880:$H$894,B196:B601,[1]CRJ!$K$880:$K$894)</f>
        <v>0</v>
      </c>
      <c r="P196" s="100">
        <f>SUMIF([1]ChkDJ!$H$849:$H$867,B196:B601,[1]ChkDJ!$J$849:$J$867)</f>
        <v>0</v>
      </c>
      <c r="Q196" s="100">
        <f>SUMIF([1]ChkDJ!$H$849:$H$867,B196:B601,[1]ChkDJ!$K$849:$K$867)</f>
        <v>0</v>
      </c>
      <c r="R196" s="100">
        <f>SUMIF([1]CDJ!$H$190:$H$197,B196:B601,[1]CDJ!$J$190:$J$197)</f>
        <v>0</v>
      </c>
      <c r="S196" s="100">
        <f>SUMIF([1]CDJ!$H$190:$H$197,B196:B601,[1]CDJ!$K$190:$K$197)</f>
        <v>0</v>
      </c>
      <c r="T196" s="102">
        <f>SUMIF([1]GL!$H$448:$H$480,B196:B606,[1]GL!$J$448:$J$487)</f>
        <v>0</v>
      </c>
      <c r="U196" s="100">
        <f>SUMIF([1]GL!$H$448:$H$480,B196:B606,[1]GL!$K$448:$K$487)</f>
        <v>0</v>
      </c>
      <c r="V196" s="102"/>
      <c r="W196" s="100"/>
      <c r="X196" s="101"/>
      <c r="Y196" s="353"/>
    </row>
    <row r="197" spans="1:25" s="350" customFormat="1" ht="15.75" hidden="1" customHeight="1">
      <c r="A197" s="419" t="s">
        <v>646</v>
      </c>
      <c r="B197" s="423">
        <v>593</v>
      </c>
      <c r="C197" s="424"/>
      <c r="D197" s="424"/>
      <c r="E197" s="94">
        <f t="shared" si="13"/>
        <v>0</v>
      </c>
      <c r="F197" s="650">
        <v>0</v>
      </c>
      <c r="G197" s="651"/>
      <c r="H197" s="593">
        <v>0</v>
      </c>
      <c r="I197" s="98">
        <f t="shared" si="9"/>
        <v>0</v>
      </c>
      <c r="J197" s="98">
        <f t="shared" si="9"/>
        <v>0</v>
      </c>
      <c r="K197" s="96">
        <f t="shared" si="10"/>
        <v>0</v>
      </c>
      <c r="L197" s="96"/>
      <c r="M197" s="96">
        <f t="shared" si="11"/>
        <v>0</v>
      </c>
      <c r="N197" s="107">
        <f>SUMIF([1]CRJ!$H$880:$H$894,B197:B602,[1]CRJ!$J$880:$J$894)</f>
        <v>0</v>
      </c>
      <c r="O197" s="100">
        <f>SUMIF([1]CRJ!$H$880:$H$894,B197:B602,[1]CRJ!$K$880:$K$894)</f>
        <v>0</v>
      </c>
      <c r="P197" s="100">
        <f>SUMIF([1]ChkDJ!$H$849:$H$867,B197:B602,[1]ChkDJ!$J$849:$J$867)</f>
        <v>0</v>
      </c>
      <c r="Q197" s="100">
        <f>SUMIF([1]ChkDJ!$H$849:$H$867,B197:B602,[1]ChkDJ!$K$849:$K$867)</f>
        <v>0</v>
      </c>
      <c r="R197" s="100">
        <f>SUMIF([1]CDJ!$H$190:$H$197,B197:B602,[1]CDJ!$J$190:$J$197)</f>
        <v>0</v>
      </c>
      <c r="S197" s="100">
        <f>SUMIF([1]CDJ!$H$190:$H$197,B197:B602,[1]CDJ!$K$190:$K$197)</f>
        <v>0</v>
      </c>
      <c r="T197" s="102">
        <f>SUMIF([1]GL!$H$448:$H$480,B197:B607,[1]GL!$J$448:$J$487)</f>
        <v>0</v>
      </c>
      <c r="U197" s="100">
        <f>SUMIF([1]GL!$H$448:$H$480,B197:B607,[1]GL!$K$448:$K$487)</f>
        <v>0</v>
      </c>
      <c r="V197" s="102"/>
      <c r="W197" s="100"/>
      <c r="X197" s="101"/>
      <c r="Y197" s="353"/>
    </row>
    <row r="198" spans="1:25" s="350" customFormat="1" ht="15.75" hidden="1" customHeight="1">
      <c r="A198" s="419" t="s">
        <v>237</v>
      </c>
      <c r="B198" s="423">
        <v>598</v>
      </c>
      <c r="C198" s="424"/>
      <c r="D198" s="424"/>
      <c r="E198" s="94">
        <f t="shared" si="13"/>
        <v>0</v>
      </c>
      <c r="F198" s="650">
        <v>0</v>
      </c>
      <c r="G198" s="651"/>
      <c r="H198" s="593">
        <v>0</v>
      </c>
      <c r="I198" s="98">
        <f t="shared" si="9"/>
        <v>0</v>
      </c>
      <c r="J198" s="98">
        <f t="shared" si="9"/>
        <v>0</v>
      </c>
      <c r="K198" s="96">
        <f t="shared" si="10"/>
        <v>0</v>
      </c>
      <c r="L198" s="96"/>
      <c r="M198" s="96">
        <f t="shared" si="11"/>
        <v>0</v>
      </c>
      <c r="N198" s="107">
        <f>SUMIF([1]CRJ!$H$880:$H$894,B198:B603,[1]CRJ!$J$880:$J$894)</f>
        <v>0</v>
      </c>
      <c r="O198" s="100">
        <f>SUMIF([1]CRJ!$H$880:$H$894,B198:B603,[1]CRJ!$K$880:$K$894)</f>
        <v>0</v>
      </c>
      <c r="P198" s="100">
        <f>SUMIF([1]ChkDJ!$H$849:$H$867,B198:B603,[1]ChkDJ!$J$849:$J$867)</f>
        <v>0</v>
      </c>
      <c r="Q198" s="100">
        <f>SUMIF([1]ChkDJ!$H$849:$H$867,B198:B603,[1]ChkDJ!$K$849:$K$867)</f>
        <v>0</v>
      </c>
      <c r="R198" s="100">
        <f>SUMIF([1]CDJ!$H$190:$H$197,B198:B603,[1]CDJ!$J$190:$J$197)</f>
        <v>0</v>
      </c>
      <c r="S198" s="100">
        <f>SUMIF([1]CDJ!$H$190:$H$197,B198:B603,[1]CDJ!$K$190:$K$197)</f>
        <v>0</v>
      </c>
      <c r="T198" s="102">
        <f>SUMIF([1]GL!$H$448:$H$480,B198:B608,[1]GL!$J$448:$J$487)</f>
        <v>0</v>
      </c>
      <c r="U198" s="100">
        <f>SUMIF([1]GL!$H$448:$H$480,B198:B608,[1]GL!$K$448:$K$487)</f>
        <v>0</v>
      </c>
      <c r="V198" s="102"/>
      <c r="W198" s="100"/>
      <c r="X198" s="101"/>
      <c r="Y198" s="353"/>
    </row>
    <row r="199" spans="1:25" s="105" customFormat="1" ht="15.75">
      <c r="A199" s="93" t="s">
        <v>169</v>
      </c>
      <c r="B199" s="513">
        <v>599</v>
      </c>
      <c r="C199" s="106"/>
      <c r="D199" s="106"/>
      <c r="E199" s="94">
        <f t="shared" si="13"/>
        <v>5061586.9200000009</v>
      </c>
      <c r="F199" s="653">
        <v>19325.850000000002</v>
      </c>
      <c r="G199" s="98"/>
      <c r="H199" s="96">
        <v>4791965.3500000006</v>
      </c>
      <c r="I199" s="98">
        <f t="shared" si="9"/>
        <v>801.69</v>
      </c>
      <c r="J199" s="98">
        <f t="shared" si="9"/>
        <v>289749.11</v>
      </c>
      <c r="K199" s="96">
        <f t="shared" si="10"/>
        <v>20127.54</v>
      </c>
      <c r="L199" s="96"/>
      <c r="M199" s="96">
        <f t="shared" si="11"/>
        <v>5081714.4600000009</v>
      </c>
      <c r="N199" s="107">
        <f>SUMIF([1]CRJ!$H$880:$H$894,B199:B604,[1]CRJ!$J$880:$J$894)</f>
        <v>0</v>
      </c>
      <c r="O199" s="100">
        <f>SUMIF([1]CRJ!$H$880:$H$894,B199:B604,[1]CRJ!$K$880:$K$894)</f>
        <v>289749.11</v>
      </c>
      <c r="P199" s="100">
        <f>SUMIF([1]ChkDJ!$H$849:$H$867,B199:B604,[1]ChkDJ!$J$849:$J$867)</f>
        <v>0</v>
      </c>
      <c r="Q199" s="100">
        <f>SUMIF([1]ChkDJ!$H$849:$H$867,B199:B604,[1]ChkDJ!$K$849:$K$867)</f>
        <v>0</v>
      </c>
      <c r="R199" s="100">
        <f>SUMIF([1]CDJ!$H$190:$H$197,B199:B604,[1]CDJ!$J$190:$J$197)</f>
        <v>0</v>
      </c>
      <c r="S199" s="100">
        <f>SUMIF([1]CDJ!$H$190:$H$197,B199:B604,[1]CDJ!$K$190:$K$197)</f>
        <v>0</v>
      </c>
      <c r="T199" s="102">
        <f>SUMIF([1]GL!$H$448:$H$480,B199:B609,[1]GL!$J$448:$J$487)</f>
        <v>801.69</v>
      </c>
      <c r="U199" s="100">
        <f>SUMIF([1]GL!$H$448:$H$480,B199:B609,[1]GL!$K$448:$K$487)</f>
        <v>0</v>
      </c>
      <c r="V199" s="102"/>
      <c r="W199" s="100"/>
      <c r="X199" s="101"/>
      <c r="Y199" s="353"/>
    </row>
    <row r="200" spans="1:25" s="350" customFormat="1" ht="15.75" hidden="1" customHeight="1">
      <c r="A200" s="419" t="s">
        <v>647</v>
      </c>
      <c r="B200" s="423">
        <v>601</v>
      </c>
      <c r="C200" s="424"/>
      <c r="D200" s="424"/>
      <c r="E200" s="94">
        <f t="shared" si="13"/>
        <v>0</v>
      </c>
      <c r="F200" s="650">
        <v>0</v>
      </c>
      <c r="G200" s="651"/>
      <c r="H200" s="593">
        <v>0</v>
      </c>
      <c r="I200" s="98">
        <f t="shared" si="9"/>
        <v>0</v>
      </c>
      <c r="J200" s="98">
        <f t="shared" si="9"/>
        <v>0</v>
      </c>
      <c r="K200" s="96">
        <f t="shared" si="10"/>
        <v>0</v>
      </c>
      <c r="L200" s="96"/>
      <c r="M200" s="96">
        <f t="shared" si="11"/>
        <v>0</v>
      </c>
      <c r="N200" s="107">
        <f>SUMIF([1]CRJ!$H$880:$H$894,B200:B605,[1]CRJ!$J$880:$J$894)</f>
        <v>0</v>
      </c>
      <c r="O200" s="100">
        <f>SUMIF([1]CRJ!$H$880:$H$894,B200:B605,[1]CRJ!$K$880:$K$894)</f>
        <v>0</v>
      </c>
      <c r="P200" s="100">
        <f>SUMIF([1]ChkDJ!$H$849:$H$867,B200:B605,[1]ChkDJ!$J$849:$J$867)</f>
        <v>0</v>
      </c>
      <c r="Q200" s="100">
        <f>SUMIF([1]ChkDJ!$H$849:$H$867,B200:B605,[1]ChkDJ!$K$849:$K$867)</f>
        <v>0</v>
      </c>
      <c r="R200" s="100">
        <f>SUMIF([1]CDJ!$H$190:$H$197,B200:B605,[1]CDJ!$J$190:$J$197)</f>
        <v>0</v>
      </c>
      <c r="S200" s="100">
        <f>SUMIF([1]CDJ!$H$190:$H$197,B200:B605,[1]CDJ!$K$190:$K$197)</f>
        <v>0</v>
      </c>
      <c r="T200" s="102">
        <f>SUMIF([1]GL!$H$448:$H$480,B200:B610,[1]GL!$J$448:$J$487)</f>
        <v>0</v>
      </c>
      <c r="U200" s="100">
        <f>SUMIF([1]GL!$H$448:$H$480,B200:B610,[1]GL!$K$448:$K$487)</f>
        <v>0</v>
      </c>
      <c r="V200" s="102"/>
      <c r="W200" s="100"/>
      <c r="X200" s="101"/>
      <c r="Y200" s="353"/>
    </row>
    <row r="201" spans="1:25" s="350" customFormat="1" ht="15.75" hidden="1" customHeight="1">
      <c r="A201" s="419" t="s">
        <v>648</v>
      </c>
      <c r="B201" s="423">
        <v>602</v>
      </c>
      <c r="C201" s="424"/>
      <c r="D201" s="424"/>
      <c r="E201" s="94">
        <f t="shared" si="13"/>
        <v>0</v>
      </c>
      <c r="F201" s="650">
        <v>0</v>
      </c>
      <c r="G201" s="651"/>
      <c r="H201" s="593">
        <v>0</v>
      </c>
      <c r="I201" s="98">
        <f t="shared" ref="I201:J264" si="14">+N201+P201+R201+T201+V201+X201</f>
        <v>0</v>
      </c>
      <c r="J201" s="98">
        <f t="shared" si="14"/>
        <v>0</v>
      </c>
      <c r="K201" s="96">
        <f t="shared" si="10"/>
        <v>0</v>
      </c>
      <c r="L201" s="96"/>
      <c r="M201" s="96">
        <f t="shared" si="11"/>
        <v>0</v>
      </c>
      <c r="N201" s="107">
        <f>SUMIF([1]CRJ!$H$880:$H$894,B201:B606,[1]CRJ!$J$880:$J$894)</f>
        <v>0</v>
      </c>
      <c r="O201" s="100">
        <f>SUMIF([1]CRJ!$H$880:$H$894,B201:B606,[1]CRJ!$K$880:$K$894)</f>
        <v>0</v>
      </c>
      <c r="P201" s="100">
        <f>SUMIF([1]ChkDJ!$H$849:$H$867,B201:B606,[1]ChkDJ!$J$849:$J$867)</f>
        <v>0</v>
      </c>
      <c r="Q201" s="100">
        <f>SUMIF([1]ChkDJ!$H$849:$H$867,B201:B606,[1]ChkDJ!$K$849:$K$867)</f>
        <v>0</v>
      </c>
      <c r="R201" s="100">
        <f>SUMIF([1]CDJ!$H$190:$H$197,B201:B606,[1]CDJ!$J$190:$J$197)</f>
        <v>0</v>
      </c>
      <c r="S201" s="100">
        <f>SUMIF([1]CDJ!$H$190:$H$197,B201:B606,[1]CDJ!$K$190:$K$197)</f>
        <v>0</v>
      </c>
      <c r="T201" s="102">
        <f>SUMIF([1]GL!$H$448:$H$480,B201:B611,[1]GL!$J$448:$J$487)</f>
        <v>0</v>
      </c>
      <c r="U201" s="100">
        <f>SUMIF([1]GL!$H$448:$H$480,B201:B611,[1]GL!$K$448:$K$487)</f>
        <v>0</v>
      </c>
      <c r="V201" s="102"/>
      <c r="W201" s="100"/>
      <c r="X201" s="101"/>
      <c r="Y201" s="353"/>
    </row>
    <row r="202" spans="1:25" s="350" customFormat="1" ht="15.75" hidden="1" customHeight="1">
      <c r="A202" s="419" t="s">
        <v>649</v>
      </c>
      <c r="B202" s="423">
        <v>603</v>
      </c>
      <c r="C202" s="424"/>
      <c r="D202" s="424"/>
      <c r="E202" s="94">
        <f t="shared" si="13"/>
        <v>0</v>
      </c>
      <c r="F202" s="650">
        <v>0</v>
      </c>
      <c r="G202" s="651"/>
      <c r="H202" s="593">
        <v>0</v>
      </c>
      <c r="I202" s="98">
        <f t="shared" si="14"/>
        <v>0</v>
      </c>
      <c r="J202" s="98">
        <f t="shared" si="14"/>
        <v>0</v>
      </c>
      <c r="K202" s="96">
        <f t="shared" si="10"/>
        <v>0</v>
      </c>
      <c r="L202" s="96"/>
      <c r="M202" s="96">
        <f t="shared" si="11"/>
        <v>0</v>
      </c>
      <c r="N202" s="107">
        <f>SUMIF([1]CRJ!$H$880:$H$894,B202:B607,[1]CRJ!$J$880:$J$894)</f>
        <v>0</v>
      </c>
      <c r="O202" s="100">
        <f>SUMIF([1]CRJ!$H$880:$H$894,B202:B607,[1]CRJ!$K$880:$K$894)</f>
        <v>0</v>
      </c>
      <c r="P202" s="100">
        <f>SUMIF([1]ChkDJ!$H$849:$H$867,B202:B607,[1]ChkDJ!$J$849:$J$867)</f>
        <v>0</v>
      </c>
      <c r="Q202" s="100">
        <f>SUMIF([1]ChkDJ!$H$849:$H$867,B202:B607,[1]ChkDJ!$K$849:$K$867)</f>
        <v>0</v>
      </c>
      <c r="R202" s="100">
        <f>SUMIF([1]CDJ!$H$190:$H$197,B202:B607,[1]CDJ!$J$190:$J$197)</f>
        <v>0</v>
      </c>
      <c r="S202" s="100">
        <f>SUMIF([1]CDJ!$H$190:$H$197,B202:B607,[1]CDJ!$K$190:$K$197)</f>
        <v>0</v>
      </c>
      <c r="T202" s="102">
        <f>SUMIF([1]GL!$H$448:$H$480,B202:B612,[1]GL!$J$448:$J$487)</f>
        <v>0</v>
      </c>
      <c r="U202" s="100">
        <f>SUMIF([1]GL!$H$448:$H$480,B202:B612,[1]GL!$K$448:$K$487)</f>
        <v>0</v>
      </c>
      <c r="V202" s="102"/>
      <c r="W202" s="100"/>
      <c r="X202" s="101"/>
      <c r="Y202" s="353"/>
    </row>
    <row r="203" spans="1:25" s="350" customFormat="1" ht="15.75" hidden="1" customHeight="1">
      <c r="A203" s="419" t="s">
        <v>650</v>
      </c>
      <c r="B203" s="423">
        <v>605</v>
      </c>
      <c r="C203" s="424"/>
      <c r="D203" s="424"/>
      <c r="E203" s="94">
        <f t="shared" si="13"/>
        <v>0</v>
      </c>
      <c r="F203" s="650">
        <v>0</v>
      </c>
      <c r="G203" s="651"/>
      <c r="H203" s="593">
        <v>0</v>
      </c>
      <c r="I203" s="98">
        <f t="shared" si="14"/>
        <v>0</v>
      </c>
      <c r="J203" s="98">
        <f t="shared" si="14"/>
        <v>0</v>
      </c>
      <c r="K203" s="96">
        <f t="shared" ref="K203:K267" si="15">+F203+I203</f>
        <v>0</v>
      </c>
      <c r="L203" s="96"/>
      <c r="M203" s="96">
        <f t="shared" si="11"/>
        <v>0</v>
      </c>
      <c r="N203" s="107">
        <f>SUMIF([1]CRJ!$H$880:$H$894,B203:B608,[1]CRJ!$J$880:$J$894)</f>
        <v>0</v>
      </c>
      <c r="O203" s="100">
        <f>SUMIF([1]CRJ!$H$880:$H$894,B203:B608,[1]CRJ!$K$880:$K$894)</f>
        <v>0</v>
      </c>
      <c r="P203" s="100">
        <f>SUMIF([1]ChkDJ!$H$849:$H$867,B203:B608,[1]ChkDJ!$J$849:$J$867)</f>
        <v>0</v>
      </c>
      <c r="Q203" s="100">
        <f>SUMIF([1]ChkDJ!$H$849:$H$867,B203:B608,[1]ChkDJ!$K$849:$K$867)</f>
        <v>0</v>
      </c>
      <c r="R203" s="100">
        <f>SUMIF([1]CDJ!$H$190:$H$197,B203:B608,[1]CDJ!$J$190:$J$197)</f>
        <v>0</v>
      </c>
      <c r="S203" s="100">
        <f>SUMIF([1]CDJ!$H$190:$H$197,B203:B608,[1]CDJ!$K$190:$K$197)</f>
        <v>0</v>
      </c>
      <c r="T203" s="102">
        <f>SUMIF([1]GL!$H$448:$H$480,B203:B613,[1]GL!$J$448:$J$487)</f>
        <v>0</v>
      </c>
      <c r="U203" s="100">
        <f>SUMIF([1]GL!$H$448:$H$480,B203:B613,[1]GL!$K$448:$K$487)</f>
        <v>0</v>
      </c>
      <c r="V203" s="102"/>
      <c r="W203" s="100"/>
      <c r="X203" s="101"/>
      <c r="Y203" s="353"/>
    </row>
    <row r="204" spans="1:25" s="350" customFormat="1" ht="15.75" hidden="1" customHeight="1">
      <c r="A204" s="419" t="s">
        <v>651</v>
      </c>
      <c r="B204" s="423">
        <v>606</v>
      </c>
      <c r="C204" s="424"/>
      <c r="D204" s="424"/>
      <c r="E204" s="94">
        <f t="shared" si="13"/>
        <v>0</v>
      </c>
      <c r="F204" s="650">
        <v>0</v>
      </c>
      <c r="G204" s="651"/>
      <c r="H204" s="593">
        <v>0</v>
      </c>
      <c r="I204" s="98">
        <f t="shared" si="14"/>
        <v>0</v>
      </c>
      <c r="J204" s="98">
        <f t="shared" si="14"/>
        <v>0</v>
      </c>
      <c r="K204" s="96">
        <f t="shared" si="15"/>
        <v>0</v>
      </c>
      <c r="L204" s="96"/>
      <c r="M204" s="96">
        <f t="shared" si="11"/>
        <v>0</v>
      </c>
      <c r="N204" s="107">
        <f>SUMIF([1]CRJ!$H$880:$H$894,B204:B609,[1]CRJ!$J$880:$J$894)</f>
        <v>0</v>
      </c>
      <c r="O204" s="100">
        <f>SUMIF([1]CRJ!$H$880:$H$894,B204:B609,[1]CRJ!$K$880:$K$894)</f>
        <v>0</v>
      </c>
      <c r="P204" s="100">
        <f>SUMIF([1]ChkDJ!$H$849:$H$867,B204:B609,[1]ChkDJ!$J$849:$J$867)</f>
        <v>0</v>
      </c>
      <c r="Q204" s="100">
        <f>SUMIF([1]ChkDJ!$H$849:$H$867,B204:B609,[1]ChkDJ!$K$849:$K$867)</f>
        <v>0</v>
      </c>
      <c r="R204" s="100">
        <f>SUMIF([1]CDJ!$H$190:$H$197,B204:B609,[1]CDJ!$J$190:$J$197)</f>
        <v>0</v>
      </c>
      <c r="S204" s="100">
        <f>SUMIF([1]CDJ!$H$190:$H$197,B204:B609,[1]CDJ!$K$190:$K$197)</f>
        <v>0</v>
      </c>
      <c r="T204" s="102">
        <f>SUMIF([1]GL!$H$448:$H$480,B204:B614,[1]GL!$J$448:$J$487)</f>
        <v>0</v>
      </c>
      <c r="U204" s="100">
        <f>SUMIF([1]GL!$H$448:$H$480,B204:B614,[1]GL!$K$448:$K$487)</f>
        <v>0</v>
      </c>
      <c r="V204" s="102"/>
      <c r="W204" s="100"/>
      <c r="X204" s="101"/>
      <c r="Y204" s="353"/>
    </row>
    <row r="205" spans="1:25" s="350" customFormat="1" ht="15.75" hidden="1" customHeight="1">
      <c r="A205" s="419" t="s">
        <v>652</v>
      </c>
      <c r="B205" s="423">
        <v>608</v>
      </c>
      <c r="C205" s="424"/>
      <c r="D205" s="424"/>
      <c r="E205" s="94">
        <f t="shared" si="13"/>
        <v>0</v>
      </c>
      <c r="F205" s="650">
        <v>0</v>
      </c>
      <c r="G205" s="651"/>
      <c r="H205" s="593">
        <v>0</v>
      </c>
      <c r="I205" s="98">
        <f t="shared" si="14"/>
        <v>0</v>
      </c>
      <c r="J205" s="98">
        <f t="shared" si="14"/>
        <v>0</v>
      </c>
      <c r="K205" s="96">
        <f t="shared" si="15"/>
        <v>0</v>
      </c>
      <c r="L205" s="96"/>
      <c r="M205" s="96">
        <f t="shared" ref="M205:M268" si="16">+H205+J205</f>
        <v>0</v>
      </c>
      <c r="N205" s="107">
        <f>SUMIF([1]CRJ!$H$880:$H$894,B205:B610,[1]CRJ!$J$880:$J$894)</f>
        <v>0</v>
      </c>
      <c r="O205" s="100">
        <f>SUMIF([1]CRJ!$H$880:$H$894,B205:B610,[1]CRJ!$K$880:$K$894)</f>
        <v>0</v>
      </c>
      <c r="P205" s="100">
        <f>SUMIF([1]ChkDJ!$H$849:$H$867,B205:B610,[1]ChkDJ!$J$849:$J$867)</f>
        <v>0</v>
      </c>
      <c r="Q205" s="100">
        <f>SUMIF([1]ChkDJ!$H$849:$H$867,B205:B610,[1]ChkDJ!$K$849:$K$867)</f>
        <v>0</v>
      </c>
      <c r="R205" s="100">
        <f>SUMIF([1]CDJ!$H$190:$H$197,B205:B610,[1]CDJ!$J$190:$J$197)</f>
        <v>0</v>
      </c>
      <c r="S205" s="100">
        <f>SUMIF([1]CDJ!$H$190:$H$197,B205:B610,[1]CDJ!$K$190:$K$197)</f>
        <v>0</v>
      </c>
      <c r="T205" s="102">
        <f>SUMIF([1]GL!$H$448:$H$480,B205:B615,[1]GL!$J$448:$J$487)</f>
        <v>0</v>
      </c>
      <c r="U205" s="100">
        <f>SUMIF([1]GL!$H$448:$H$480,B205:B615,[1]GL!$K$448:$K$487)</f>
        <v>0</v>
      </c>
      <c r="V205" s="102"/>
      <c r="W205" s="100"/>
      <c r="X205" s="101"/>
      <c r="Y205" s="353"/>
    </row>
    <row r="206" spans="1:25" s="350" customFormat="1" ht="15.75" hidden="1" customHeight="1">
      <c r="A206" s="419" t="s">
        <v>653</v>
      </c>
      <c r="B206" s="423">
        <v>609</v>
      </c>
      <c r="C206" s="424"/>
      <c r="D206" s="424"/>
      <c r="E206" s="94">
        <f t="shared" si="13"/>
        <v>0</v>
      </c>
      <c r="F206" s="650">
        <v>0</v>
      </c>
      <c r="G206" s="651"/>
      <c r="H206" s="593">
        <v>0</v>
      </c>
      <c r="I206" s="98">
        <f t="shared" si="14"/>
        <v>0</v>
      </c>
      <c r="J206" s="98">
        <f t="shared" si="14"/>
        <v>0</v>
      </c>
      <c r="K206" s="96">
        <f t="shared" si="15"/>
        <v>0</v>
      </c>
      <c r="L206" s="96"/>
      <c r="M206" s="96">
        <f t="shared" si="16"/>
        <v>0</v>
      </c>
      <c r="N206" s="107">
        <f>SUMIF([1]CRJ!$H$880:$H$894,B206:B611,[1]CRJ!$J$880:$J$894)</f>
        <v>0</v>
      </c>
      <c r="O206" s="100">
        <f>SUMIF([1]CRJ!$H$880:$H$894,B206:B611,[1]CRJ!$K$880:$K$894)</f>
        <v>0</v>
      </c>
      <c r="P206" s="100">
        <f>SUMIF([1]ChkDJ!$H$849:$H$867,B206:B611,[1]ChkDJ!$J$849:$J$867)</f>
        <v>0</v>
      </c>
      <c r="Q206" s="100">
        <f>SUMIF([1]ChkDJ!$H$849:$H$867,B206:B611,[1]ChkDJ!$K$849:$K$867)</f>
        <v>0</v>
      </c>
      <c r="R206" s="100">
        <f>SUMIF([1]CDJ!$H$190:$H$197,B206:B611,[1]CDJ!$J$190:$J$197)</f>
        <v>0</v>
      </c>
      <c r="S206" s="100">
        <f>SUMIF([1]CDJ!$H$190:$H$197,B206:B611,[1]CDJ!$K$190:$K$197)</f>
        <v>0</v>
      </c>
      <c r="T206" s="102">
        <f>SUMIF([1]GL!$H$448:$H$480,B206:B616,[1]GL!$J$448:$J$487)</f>
        <v>0</v>
      </c>
      <c r="U206" s="100">
        <f>SUMIF([1]GL!$H$448:$H$480,B206:B616,[1]GL!$K$448:$K$487)</f>
        <v>0</v>
      </c>
      <c r="V206" s="102"/>
      <c r="W206" s="100"/>
      <c r="X206" s="101"/>
      <c r="Y206" s="353"/>
    </row>
    <row r="207" spans="1:25" s="350" customFormat="1" ht="15.75" hidden="1" customHeight="1">
      <c r="A207" s="419" t="s">
        <v>654</v>
      </c>
      <c r="B207" s="423">
        <v>611</v>
      </c>
      <c r="C207" s="424"/>
      <c r="D207" s="424"/>
      <c r="E207" s="94">
        <f t="shared" si="13"/>
        <v>0</v>
      </c>
      <c r="F207" s="650">
        <v>0</v>
      </c>
      <c r="G207" s="651"/>
      <c r="H207" s="593">
        <v>0</v>
      </c>
      <c r="I207" s="98">
        <f t="shared" si="14"/>
        <v>0</v>
      </c>
      <c r="J207" s="98">
        <f t="shared" si="14"/>
        <v>0</v>
      </c>
      <c r="K207" s="96">
        <f t="shared" si="15"/>
        <v>0</v>
      </c>
      <c r="L207" s="96"/>
      <c r="M207" s="96">
        <f t="shared" si="16"/>
        <v>0</v>
      </c>
      <c r="N207" s="107">
        <f>SUMIF([1]CRJ!$H$880:$H$894,B207:B612,[1]CRJ!$J$880:$J$894)</f>
        <v>0</v>
      </c>
      <c r="O207" s="100">
        <f>SUMIF([1]CRJ!$H$880:$H$894,B207:B612,[1]CRJ!$K$880:$K$894)</f>
        <v>0</v>
      </c>
      <c r="P207" s="100">
        <f>SUMIF([1]ChkDJ!$H$849:$H$867,B207:B612,[1]ChkDJ!$J$849:$J$867)</f>
        <v>0</v>
      </c>
      <c r="Q207" s="100">
        <f>SUMIF([1]ChkDJ!$H$849:$H$867,B207:B612,[1]ChkDJ!$K$849:$K$867)</f>
        <v>0</v>
      </c>
      <c r="R207" s="100">
        <f>SUMIF([1]CDJ!$H$190:$H$197,B207:B612,[1]CDJ!$J$190:$J$197)</f>
        <v>0</v>
      </c>
      <c r="S207" s="100">
        <f>SUMIF([1]CDJ!$H$190:$H$197,B207:B612,[1]CDJ!$K$190:$K$197)</f>
        <v>0</v>
      </c>
      <c r="T207" s="102">
        <f>SUMIF([1]GL!$H$448:$H$480,B207:B617,[1]GL!$J$448:$J$487)</f>
        <v>0</v>
      </c>
      <c r="U207" s="100">
        <f>SUMIF([1]GL!$H$448:$H$480,B207:B617,[1]GL!$K$448:$K$487)</f>
        <v>0</v>
      </c>
      <c r="V207" s="102"/>
      <c r="W207" s="100"/>
      <c r="X207" s="101"/>
      <c r="Y207" s="353"/>
    </row>
    <row r="208" spans="1:25" s="350" customFormat="1" ht="15.75" hidden="1" customHeight="1">
      <c r="A208" s="419" t="s">
        <v>655</v>
      </c>
      <c r="B208" s="423">
        <v>612</v>
      </c>
      <c r="C208" s="424"/>
      <c r="D208" s="424"/>
      <c r="E208" s="94">
        <f t="shared" si="13"/>
        <v>0</v>
      </c>
      <c r="F208" s="650">
        <v>0</v>
      </c>
      <c r="G208" s="651"/>
      <c r="H208" s="593">
        <v>0</v>
      </c>
      <c r="I208" s="98">
        <f t="shared" si="14"/>
        <v>0</v>
      </c>
      <c r="J208" s="98">
        <f t="shared" si="14"/>
        <v>0</v>
      </c>
      <c r="K208" s="96">
        <f t="shared" si="15"/>
        <v>0</v>
      </c>
      <c r="L208" s="96"/>
      <c r="M208" s="96">
        <f t="shared" si="16"/>
        <v>0</v>
      </c>
      <c r="N208" s="107">
        <f>SUMIF([1]CRJ!$H$880:$H$894,B208:B613,[1]CRJ!$J$880:$J$894)</f>
        <v>0</v>
      </c>
      <c r="O208" s="100">
        <f>SUMIF([1]CRJ!$H$880:$H$894,B208:B613,[1]CRJ!$K$880:$K$894)</f>
        <v>0</v>
      </c>
      <c r="P208" s="100">
        <f>SUMIF([1]ChkDJ!$H$849:$H$867,B208:B613,[1]ChkDJ!$J$849:$J$867)</f>
        <v>0</v>
      </c>
      <c r="Q208" s="100">
        <f>SUMIF([1]ChkDJ!$H$849:$H$867,B208:B613,[1]ChkDJ!$K$849:$K$867)</f>
        <v>0</v>
      </c>
      <c r="R208" s="100">
        <f>SUMIF([1]CDJ!$H$190:$H$197,B208:B613,[1]CDJ!$J$190:$J$197)</f>
        <v>0</v>
      </c>
      <c r="S208" s="100">
        <f>SUMIF([1]CDJ!$H$190:$H$197,B208:B613,[1]CDJ!$K$190:$K$197)</f>
        <v>0</v>
      </c>
      <c r="T208" s="102">
        <f>SUMIF([1]GL!$H$448:$H$480,B208:B618,[1]GL!$J$448:$J$487)</f>
        <v>0</v>
      </c>
      <c r="U208" s="100">
        <f>SUMIF([1]GL!$H$448:$H$480,B208:B618,[1]GL!$K$448:$K$487)</f>
        <v>0</v>
      </c>
      <c r="V208" s="102"/>
      <c r="W208" s="100"/>
      <c r="X208" s="101"/>
      <c r="Y208" s="353"/>
    </row>
    <row r="209" spans="1:25" s="350" customFormat="1" ht="15.75" hidden="1" customHeight="1">
      <c r="A209" s="426" t="s">
        <v>656</v>
      </c>
      <c r="B209" s="423">
        <v>613</v>
      </c>
      <c r="C209" s="424"/>
      <c r="D209" s="424"/>
      <c r="E209" s="94">
        <f t="shared" si="13"/>
        <v>0</v>
      </c>
      <c r="F209" s="650">
        <v>0</v>
      </c>
      <c r="G209" s="651"/>
      <c r="H209" s="593">
        <v>0</v>
      </c>
      <c r="I209" s="98">
        <f t="shared" si="14"/>
        <v>0</v>
      </c>
      <c r="J209" s="98">
        <f t="shared" si="14"/>
        <v>0</v>
      </c>
      <c r="K209" s="96">
        <f t="shared" si="15"/>
        <v>0</v>
      </c>
      <c r="L209" s="96"/>
      <c r="M209" s="96">
        <f t="shared" si="16"/>
        <v>0</v>
      </c>
      <c r="N209" s="107">
        <f>SUMIF([1]CRJ!$H$880:$H$894,B209:B614,[1]CRJ!$J$880:$J$894)</f>
        <v>0</v>
      </c>
      <c r="O209" s="100">
        <f>SUMIF([1]CRJ!$H$880:$H$894,B209:B614,[1]CRJ!$K$880:$K$894)</f>
        <v>0</v>
      </c>
      <c r="P209" s="100">
        <f>SUMIF([1]ChkDJ!$H$849:$H$867,B209:B614,[1]ChkDJ!$J$849:$J$867)</f>
        <v>0</v>
      </c>
      <c r="Q209" s="100">
        <f>SUMIF([1]ChkDJ!$H$849:$H$867,B209:B614,[1]ChkDJ!$K$849:$K$867)</f>
        <v>0</v>
      </c>
      <c r="R209" s="100">
        <f>SUMIF([1]CDJ!$H$190:$H$197,B209:B614,[1]CDJ!$J$190:$J$197)</f>
        <v>0</v>
      </c>
      <c r="S209" s="100">
        <f>SUMIF([1]CDJ!$H$190:$H$197,B209:B614,[1]CDJ!$K$190:$K$197)</f>
        <v>0</v>
      </c>
      <c r="T209" s="102">
        <f>SUMIF([1]GL!$H$448:$H$480,B209:B619,[1]GL!$J$448:$J$487)</f>
        <v>0</v>
      </c>
      <c r="U209" s="100">
        <f>SUMIF([1]GL!$H$448:$H$480,B209:B619,[1]GL!$K$448:$K$487)</f>
        <v>0</v>
      </c>
      <c r="V209" s="102"/>
      <c r="W209" s="100"/>
      <c r="X209" s="101"/>
      <c r="Y209" s="353"/>
    </row>
    <row r="210" spans="1:25" s="350" customFormat="1" ht="15.75" hidden="1" customHeight="1">
      <c r="A210" s="426" t="s">
        <v>657</v>
      </c>
      <c r="B210" s="423">
        <v>614</v>
      </c>
      <c r="C210" s="424"/>
      <c r="D210" s="424"/>
      <c r="E210" s="94">
        <f t="shared" si="13"/>
        <v>0</v>
      </c>
      <c r="F210" s="650">
        <v>0</v>
      </c>
      <c r="G210" s="651"/>
      <c r="H210" s="593">
        <v>0</v>
      </c>
      <c r="I210" s="98">
        <f t="shared" si="14"/>
        <v>0</v>
      </c>
      <c r="J210" s="98">
        <f t="shared" si="14"/>
        <v>0</v>
      </c>
      <c r="K210" s="96">
        <f t="shared" si="15"/>
        <v>0</v>
      </c>
      <c r="L210" s="96"/>
      <c r="M210" s="96">
        <f t="shared" si="16"/>
        <v>0</v>
      </c>
      <c r="N210" s="107">
        <f>SUMIF([1]CRJ!$H$880:$H$894,B210:B615,[1]CRJ!$J$880:$J$894)</f>
        <v>0</v>
      </c>
      <c r="O210" s="100">
        <f>SUMIF([1]CRJ!$H$880:$H$894,B210:B615,[1]CRJ!$K$880:$K$894)</f>
        <v>0</v>
      </c>
      <c r="P210" s="100">
        <f>SUMIF([1]ChkDJ!$H$849:$H$867,B210:B615,[1]ChkDJ!$J$849:$J$867)</f>
        <v>0</v>
      </c>
      <c r="Q210" s="100">
        <f>SUMIF([1]ChkDJ!$H$849:$H$867,B210:B615,[1]ChkDJ!$K$849:$K$867)</f>
        <v>0</v>
      </c>
      <c r="R210" s="100">
        <f>SUMIF([1]CDJ!$H$190:$H$197,B210:B615,[1]CDJ!$J$190:$J$197)</f>
        <v>0</v>
      </c>
      <c r="S210" s="100">
        <f>SUMIF([1]CDJ!$H$190:$H$197,B210:B615,[1]CDJ!$K$190:$K$197)</f>
        <v>0</v>
      </c>
      <c r="T210" s="102">
        <f>SUMIF([1]GL!$H$448:$H$480,B210:B620,[1]GL!$J$448:$J$487)</f>
        <v>0</v>
      </c>
      <c r="U210" s="100">
        <f>SUMIF([1]GL!$H$448:$H$480,B210:B620,[1]GL!$K$448:$K$487)</f>
        <v>0</v>
      </c>
      <c r="V210" s="102"/>
      <c r="W210" s="100"/>
      <c r="X210" s="101"/>
      <c r="Y210" s="353"/>
    </row>
    <row r="211" spans="1:25" s="350" customFormat="1" ht="15.75" hidden="1" customHeight="1">
      <c r="A211" s="426" t="s">
        <v>658</v>
      </c>
      <c r="B211" s="423">
        <v>615</v>
      </c>
      <c r="C211" s="424"/>
      <c r="D211" s="424"/>
      <c r="E211" s="94">
        <f t="shared" si="13"/>
        <v>0</v>
      </c>
      <c r="F211" s="650">
        <v>0</v>
      </c>
      <c r="G211" s="651"/>
      <c r="H211" s="593">
        <v>0</v>
      </c>
      <c r="I211" s="98">
        <f t="shared" si="14"/>
        <v>0</v>
      </c>
      <c r="J211" s="98">
        <f t="shared" si="14"/>
        <v>0</v>
      </c>
      <c r="K211" s="96">
        <f t="shared" si="15"/>
        <v>0</v>
      </c>
      <c r="L211" s="96"/>
      <c r="M211" s="96">
        <f t="shared" si="16"/>
        <v>0</v>
      </c>
      <c r="N211" s="107">
        <f>SUMIF([1]CRJ!$H$880:$H$894,B211:B616,[1]CRJ!$J$880:$J$894)</f>
        <v>0</v>
      </c>
      <c r="O211" s="100">
        <f>SUMIF([1]CRJ!$H$880:$H$894,B211:B616,[1]CRJ!$K$880:$K$894)</f>
        <v>0</v>
      </c>
      <c r="P211" s="100">
        <f>SUMIF([1]ChkDJ!$H$849:$H$867,B211:B616,[1]ChkDJ!$J$849:$J$867)</f>
        <v>0</v>
      </c>
      <c r="Q211" s="100">
        <f>SUMIF([1]ChkDJ!$H$849:$H$867,B211:B616,[1]ChkDJ!$K$849:$K$867)</f>
        <v>0</v>
      </c>
      <c r="R211" s="100">
        <f>SUMIF([1]CDJ!$H$190:$H$197,B211:B616,[1]CDJ!$J$190:$J$197)</f>
        <v>0</v>
      </c>
      <c r="S211" s="100">
        <f>SUMIF([1]CDJ!$H$190:$H$197,B211:B616,[1]CDJ!$K$190:$K$197)</f>
        <v>0</v>
      </c>
      <c r="T211" s="102">
        <f>SUMIF([1]GL!$H$448:$H$480,B211:B621,[1]GL!$J$448:$J$487)</f>
        <v>0</v>
      </c>
      <c r="U211" s="100">
        <f>SUMIF([1]GL!$H$448:$H$480,B211:B621,[1]GL!$K$448:$K$487)</f>
        <v>0</v>
      </c>
      <c r="V211" s="102"/>
      <c r="W211" s="100"/>
      <c r="X211" s="101"/>
      <c r="Y211" s="353"/>
    </row>
    <row r="212" spans="1:25" s="350" customFormat="1" ht="15.75" hidden="1" customHeight="1">
      <c r="A212" s="426" t="s">
        <v>659</v>
      </c>
      <c r="B212" s="423">
        <v>616</v>
      </c>
      <c r="C212" s="424"/>
      <c r="D212" s="424"/>
      <c r="E212" s="94">
        <f t="shared" si="13"/>
        <v>0</v>
      </c>
      <c r="F212" s="650">
        <v>0</v>
      </c>
      <c r="G212" s="651"/>
      <c r="H212" s="593">
        <v>0</v>
      </c>
      <c r="I212" s="98">
        <f t="shared" si="14"/>
        <v>0</v>
      </c>
      <c r="J212" s="98">
        <f t="shared" si="14"/>
        <v>0</v>
      </c>
      <c r="K212" s="96">
        <f t="shared" si="15"/>
        <v>0</v>
      </c>
      <c r="L212" s="96"/>
      <c r="M212" s="96">
        <f t="shared" si="16"/>
        <v>0</v>
      </c>
      <c r="N212" s="107">
        <f>SUMIF([1]CRJ!$H$880:$H$894,B212:B617,[1]CRJ!$J$880:$J$894)</f>
        <v>0</v>
      </c>
      <c r="O212" s="100">
        <f>SUMIF([1]CRJ!$H$880:$H$894,B212:B617,[1]CRJ!$K$880:$K$894)</f>
        <v>0</v>
      </c>
      <c r="P212" s="100">
        <f>SUMIF([1]ChkDJ!$H$849:$H$867,B212:B617,[1]ChkDJ!$J$849:$J$867)</f>
        <v>0</v>
      </c>
      <c r="Q212" s="100">
        <f>SUMIF([1]ChkDJ!$H$849:$H$867,B212:B617,[1]ChkDJ!$K$849:$K$867)</f>
        <v>0</v>
      </c>
      <c r="R212" s="100">
        <f>SUMIF([1]CDJ!$H$190:$H$197,B212:B617,[1]CDJ!$J$190:$J$197)</f>
        <v>0</v>
      </c>
      <c r="S212" s="100">
        <f>SUMIF([1]CDJ!$H$190:$H$197,B212:B617,[1]CDJ!$K$190:$K$197)</f>
        <v>0</v>
      </c>
      <c r="T212" s="102">
        <f>SUMIF([1]GL!$H$448:$H$480,B212:B622,[1]GL!$J$448:$J$487)</f>
        <v>0</v>
      </c>
      <c r="U212" s="100">
        <f>SUMIF([1]GL!$H$448:$H$480,B212:B622,[1]GL!$K$448:$K$487)</f>
        <v>0</v>
      </c>
      <c r="V212" s="102"/>
      <c r="W212" s="100"/>
      <c r="X212" s="101"/>
      <c r="Y212" s="353"/>
    </row>
    <row r="213" spans="1:25" s="350" customFormat="1" ht="15.75" hidden="1" customHeight="1">
      <c r="A213" s="426" t="s">
        <v>660</v>
      </c>
      <c r="B213" s="423">
        <v>617</v>
      </c>
      <c r="C213" s="424"/>
      <c r="D213" s="424"/>
      <c r="E213" s="94">
        <f t="shared" si="13"/>
        <v>0</v>
      </c>
      <c r="F213" s="650">
        <v>0</v>
      </c>
      <c r="G213" s="651"/>
      <c r="H213" s="593">
        <v>0</v>
      </c>
      <c r="I213" s="98">
        <f t="shared" si="14"/>
        <v>0</v>
      </c>
      <c r="J213" s="98">
        <f t="shared" si="14"/>
        <v>0</v>
      </c>
      <c r="K213" s="96">
        <f t="shared" si="15"/>
        <v>0</v>
      </c>
      <c r="L213" s="96"/>
      <c r="M213" s="96">
        <f t="shared" si="16"/>
        <v>0</v>
      </c>
      <c r="N213" s="107">
        <f>SUMIF([1]CRJ!$H$880:$H$894,B213:B618,[1]CRJ!$J$880:$J$894)</f>
        <v>0</v>
      </c>
      <c r="O213" s="100">
        <f>SUMIF([1]CRJ!$H$880:$H$894,B213:B618,[1]CRJ!$K$880:$K$894)</f>
        <v>0</v>
      </c>
      <c r="P213" s="100">
        <f>SUMIF([1]ChkDJ!$H$849:$H$867,B213:B618,[1]ChkDJ!$J$849:$J$867)</f>
        <v>0</v>
      </c>
      <c r="Q213" s="100">
        <f>SUMIF([1]ChkDJ!$H$849:$H$867,B213:B618,[1]ChkDJ!$K$849:$K$867)</f>
        <v>0</v>
      </c>
      <c r="R213" s="100">
        <f>SUMIF([1]CDJ!$H$190:$H$197,B213:B618,[1]CDJ!$J$190:$J$197)</f>
        <v>0</v>
      </c>
      <c r="S213" s="100">
        <f>SUMIF([1]CDJ!$H$190:$H$197,B213:B618,[1]CDJ!$K$190:$K$197)</f>
        <v>0</v>
      </c>
      <c r="T213" s="102">
        <f>SUMIF([1]GL!$H$448:$H$480,B213:B623,[1]GL!$J$448:$J$487)</f>
        <v>0</v>
      </c>
      <c r="U213" s="100">
        <f>SUMIF([1]GL!$H$448:$H$480,B213:B623,[1]GL!$K$448:$K$487)</f>
        <v>0</v>
      </c>
      <c r="V213" s="102"/>
      <c r="W213" s="100"/>
      <c r="X213" s="101"/>
      <c r="Y213" s="353"/>
    </row>
    <row r="214" spans="1:25" s="350" customFormat="1" ht="15.75" hidden="1" customHeight="1">
      <c r="A214" s="426" t="s">
        <v>661</v>
      </c>
      <c r="B214" s="423">
        <v>618</v>
      </c>
      <c r="C214" s="424"/>
      <c r="D214" s="424"/>
      <c r="E214" s="94">
        <f t="shared" si="13"/>
        <v>0</v>
      </c>
      <c r="F214" s="650">
        <v>0</v>
      </c>
      <c r="G214" s="651"/>
      <c r="H214" s="593">
        <v>0</v>
      </c>
      <c r="I214" s="98">
        <f t="shared" si="14"/>
        <v>0</v>
      </c>
      <c r="J214" s="98">
        <f t="shared" si="14"/>
        <v>0</v>
      </c>
      <c r="K214" s="96">
        <f t="shared" si="15"/>
        <v>0</v>
      </c>
      <c r="L214" s="96"/>
      <c r="M214" s="96">
        <f t="shared" si="16"/>
        <v>0</v>
      </c>
      <c r="N214" s="107">
        <f>SUMIF([1]CRJ!$H$880:$H$894,B214:B619,[1]CRJ!$J$880:$J$894)</f>
        <v>0</v>
      </c>
      <c r="O214" s="100">
        <f>SUMIF([1]CRJ!$H$880:$H$894,B214:B619,[1]CRJ!$K$880:$K$894)</f>
        <v>0</v>
      </c>
      <c r="P214" s="100">
        <f>SUMIF([1]ChkDJ!$H$849:$H$867,B214:B619,[1]ChkDJ!$J$849:$J$867)</f>
        <v>0</v>
      </c>
      <c r="Q214" s="100">
        <f>SUMIF([1]ChkDJ!$H$849:$H$867,B214:B619,[1]ChkDJ!$K$849:$K$867)</f>
        <v>0</v>
      </c>
      <c r="R214" s="100">
        <f>SUMIF([1]CDJ!$H$190:$H$197,B214:B619,[1]CDJ!$J$190:$J$197)</f>
        <v>0</v>
      </c>
      <c r="S214" s="100">
        <f>SUMIF([1]CDJ!$H$190:$H$197,B214:B619,[1]CDJ!$K$190:$K$197)</f>
        <v>0</v>
      </c>
      <c r="T214" s="102">
        <f>SUMIF([1]GL!$H$448:$H$480,B214:B624,[1]GL!$J$448:$J$487)</f>
        <v>0</v>
      </c>
      <c r="U214" s="100">
        <f>SUMIF([1]GL!$H$448:$H$480,B214:B624,[1]GL!$K$448:$K$487)</f>
        <v>0</v>
      </c>
      <c r="V214" s="102"/>
      <c r="W214" s="100"/>
      <c r="X214" s="101"/>
      <c r="Y214" s="353"/>
    </row>
    <row r="215" spans="1:25" s="350" customFormat="1" ht="15.75" hidden="1" customHeight="1">
      <c r="A215" s="426" t="s">
        <v>662</v>
      </c>
      <c r="B215" s="423">
        <v>619</v>
      </c>
      <c r="C215" s="424"/>
      <c r="D215" s="424"/>
      <c r="E215" s="94">
        <f t="shared" si="13"/>
        <v>0</v>
      </c>
      <c r="F215" s="650">
        <v>0</v>
      </c>
      <c r="G215" s="651"/>
      <c r="H215" s="593">
        <v>0</v>
      </c>
      <c r="I215" s="98">
        <f t="shared" si="14"/>
        <v>0</v>
      </c>
      <c r="J215" s="98">
        <f t="shared" si="14"/>
        <v>0</v>
      </c>
      <c r="K215" s="96">
        <f t="shared" si="15"/>
        <v>0</v>
      </c>
      <c r="L215" s="96"/>
      <c r="M215" s="96">
        <f t="shared" si="16"/>
        <v>0</v>
      </c>
      <c r="N215" s="107">
        <f>SUMIF([1]CRJ!$H$880:$H$894,B215:B620,[1]CRJ!$J$880:$J$894)</f>
        <v>0</v>
      </c>
      <c r="O215" s="100">
        <f>SUMIF([1]CRJ!$H$880:$H$894,B215:B620,[1]CRJ!$K$880:$K$894)</f>
        <v>0</v>
      </c>
      <c r="P215" s="100">
        <f>SUMIF([1]ChkDJ!$H$849:$H$867,B215:B620,[1]ChkDJ!$J$849:$J$867)</f>
        <v>0</v>
      </c>
      <c r="Q215" s="100">
        <f>SUMIF([1]ChkDJ!$H$849:$H$867,B215:B620,[1]ChkDJ!$K$849:$K$867)</f>
        <v>0</v>
      </c>
      <c r="R215" s="100">
        <f>SUMIF([1]CDJ!$H$190:$H$197,B215:B620,[1]CDJ!$J$190:$J$197)</f>
        <v>0</v>
      </c>
      <c r="S215" s="100">
        <f>SUMIF([1]CDJ!$H$190:$H$197,B215:B620,[1]CDJ!$K$190:$K$197)</f>
        <v>0</v>
      </c>
      <c r="T215" s="102">
        <f>SUMIF([1]GL!$H$448:$H$480,B215:B625,[1]GL!$J$448:$J$487)</f>
        <v>0</v>
      </c>
      <c r="U215" s="100">
        <f>SUMIF([1]GL!$H$448:$H$480,B215:B625,[1]GL!$K$448:$K$487)</f>
        <v>0</v>
      </c>
      <c r="V215" s="102"/>
      <c r="W215" s="100"/>
      <c r="X215" s="101"/>
      <c r="Y215" s="353"/>
    </row>
    <row r="216" spans="1:25" s="350" customFormat="1" ht="15.75" hidden="1" customHeight="1">
      <c r="A216" s="426" t="s">
        <v>663</v>
      </c>
      <c r="B216" s="423">
        <v>621</v>
      </c>
      <c r="C216" s="424"/>
      <c r="D216" s="424"/>
      <c r="E216" s="94">
        <f t="shared" si="13"/>
        <v>0</v>
      </c>
      <c r="F216" s="650">
        <v>0</v>
      </c>
      <c r="G216" s="651"/>
      <c r="H216" s="593">
        <v>0</v>
      </c>
      <c r="I216" s="98">
        <f t="shared" si="14"/>
        <v>0</v>
      </c>
      <c r="J216" s="98">
        <f t="shared" si="14"/>
        <v>0</v>
      </c>
      <c r="K216" s="96">
        <f t="shared" si="15"/>
        <v>0</v>
      </c>
      <c r="L216" s="96"/>
      <c r="M216" s="96">
        <f t="shared" si="16"/>
        <v>0</v>
      </c>
      <c r="N216" s="107">
        <f>SUMIF([1]CRJ!$H$880:$H$894,B216:B621,[1]CRJ!$J$880:$J$894)</f>
        <v>0</v>
      </c>
      <c r="O216" s="100">
        <f>SUMIF([1]CRJ!$H$880:$H$894,B216:B621,[1]CRJ!$K$880:$K$894)</f>
        <v>0</v>
      </c>
      <c r="P216" s="100">
        <f>SUMIF([1]ChkDJ!$H$849:$H$867,B216:B621,[1]ChkDJ!$J$849:$J$867)</f>
        <v>0</v>
      </c>
      <c r="Q216" s="100">
        <f>SUMIF([1]ChkDJ!$H$849:$H$867,B216:B621,[1]ChkDJ!$K$849:$K$867)</f>
        <v>0</v>
      </c>
      <c r="R216" s="100">
        <f>SUMIF([1]CDJ!$H$190:$H$197,B216:B621,[1]CDJ!$J$190:$J$197)</f>
        <v>0</v>
      </c>
      <c r="S216" s="100">
        <f>SUMIF([1]CDJ!$H$190:$H$197,B216:B621,[1]CDJ!$K$190:$K$197)</f>
        <v>0</v>
      </c>
      <c r="T216" s="102">
        <f>SUMIF([1]GL!$H$448:$H$480,B216:B626,[1]GL!$J$448:$J$487)</f>
        <v>0</v>
      </c>
      <c r="U216" s="100">
        <f>SUMIF([1]GL!$H$448:$H$480,B216:B626,[1]GL!$K$448:$K$487)</f>
        <v>0</v>
      </c>
      <c r="V216" s="102"/>
      <c r="W216" s="100"/>
      <c r="X216" s="101"/>
      <c r="Y216" s="353"/>
    </row>
    <row r="217" spans="1:25" s="350" customFormat="1" ht="15.75" hidden="1" customHeight="1">
      <c r="A217" s="426" t="s">
        <v>664</v>
      </c>
      <c r="B217" s="423">
        <v>622</v>
      </c>
      <c r="C217" s="424"/>
      <c r="D217" s="424"/>
      <c r="E217" s="94">
        <f t="shared" si="13"/>
        <v>0</v>
      </c>
      <c r="F217" s="650">
        <v>0</v>
      </c>
      <c r="G217" s="651"/>
      <c r="H217" s="593">
        <v>0</v>
      </c>
      <c r="I217" s="98">
        <f t="shared" si="14"/>
        <v>0</v>
      </c>
      <c r="J217" s="98">
        <f t="shared" si="14"/>
        <v>0</v>
      </c>
      <c r="K217" s="96">
        <f t="shared" si="15"/>
        <v>0</v>
      </c>
      <c r="L217" s="96"/>
      <c r="M217" s="96">
        <f t="shared" si="16"/>
        <v>0</v>
      </c>
      <c r="N217" s="107">
        <f>SUMIF([1]CRJ!$H$880:$H$894,B217:B622,[1]CRJ!$J$880:$J$894)</f>
        <v>0</v>
      </c>
      <c r="O217" s="100">
        <f>SUMIF([1]CRJ!$H$880:$H$894,B217:B622,[1]CRJ!$K$880:$K$894)</f>
        <v>0</v>
      </c>
      <c r="P217" s="100">
        <f>SUMIF([1]ChkDJ!$H$849:$H$867,B217:B622,[1]ChkDJ!$J$849:$J$867)</f>
        <v>0</v>
      </c>
      <c r="Q217" s="100">
        <f>SUMIF([1]ChkDJ!$H$849:$H$867,B217:B622,[1]ChkDJ!$K$849:$K$867)</f>
        <v>0</v>
      </c>
      <c r="R217" s="100">
        <f>SUMIF([1]CDJ!$H$190:$H$197,B217:B622,[1]CDJ!$J$190:$J$197)</f>
        <v>0</v>
      </c>
      <c r="S217" s="100">
        <f>SUMIF([1]CDJ!$H$190:$H$197,B217:B622,[1]CDJ!$K$190:$K$197)</f>
        <v>0</v>
      </c>
      <c r="T217" s="102">
        <f>SUMIF([1]GL!$H$448:$H$480,B217:B627,[1]GL!$J$448:$J$487)</f>
        <v>0</v>
      </c>
      <c r="U217" s="100">
        <f>SUMIF([1]GL!$H$448:$H$480,B217:B627,[1]GL!$K$448:$K$487)</f>
        <v>0</v>
      </c>
      <c r="V217" s="102"/>
      <c r="W217" s="100"/>
      <c r="X217" s="101"/>
      <c r="Y217" s="353"/>
    </row>
    <row r="218" spans="1:25" s="350" customFormat="1" ht="15.75" hidden="1" customHeight="1">
      <c r="A218" s="426" t="s">
        <v>665</v>
      </c>
      <c r="B218" s="423">
        <v>623</v>
      </c>
      <c r="C218" s="424"/>
      <c r="D218" s="424"/>
      <c r="E218" s="94">
        <f t="shared" si="13"/>
        <v>0</v>
      </c>
      <c r="F218" s="650">
        <v>0</v>
      </c>
      <c r="G218" s="651"/>
      <c r="H218" s="593">
        <v>0</v>
      </c>
      <c r="I218" s="98">
        <f t="shared" si="14"/>
        <v>0</v>
      </c>
      <c r="J218" s="98">
        <f t="shared" si="14"/>
        <v>0</v>
      </c>
      <c r="K218" s="96">
        <f t="shared" si="15"/>
        <v>0</v>
      </c>
      <c r="L218" s="96"/>
      <c r="M218" s="96">
        <f t="shared" si="16"/>
        <v>0</v>
      </c>
      <c r="N218" s="107">
        <f>SUMIF([1]CRJ!$H$880:$H$894,B218:B623,[1]CRJ!$J$880:$J$894)</f>
        <v>0</v>
      </c>
      <c r="O218" s="100">
        <f>SUMIF([1]CRJ!$H$880:$H$894,B218:B623,[1]CRJ!$K$880:$K$894)</f>
        <v>0</v>
      </c>
      <c r="P218" s="100">
        <f>SUMIF([1]ChkDJ!$H$849:$H$867,B218:B623,[1]ChkDJ!$J$849:$J$867)</f>
        <v>0</v>
      </c>
      <c r="Q218" s="100">
        <f>SUMIF([1]ChkDJ!$H$849:$H$867,B218:B623,[1]ChkDJ!$K$849:$K$867)</f>
        <v>0</v>
      </c>
      <c r="R218" s="100">
        <f>SUMIF([1]CDJ!$H$190:$H$197,B218:B623,[1]CDJ!$J$190:$J$197)</f>
        <v>0</v>
      </c>
      <c r="S218" s="100">
        <f>SUMIF([1]CDJ!$H$190:$H$197,B218:B623,[1]CDJ!$K$190:$K$197)</f>
        <v>0</v>
      </c>
      <c r="T218" s="102">
        <f>SUMIF([1]GL!$H$448:$H$480,B218:B628,[1]GL!$J$448:$J$487)</f>
        <v>0</v>
      </c>
      <c r="U218" s="100">
        <f>SUMIF([1]GL!$H$448:$H$480,B218:B628,[1]GL!$K$448:$K$487)</f>
        <v>0</v>
      </c>
      <c r="V218" s="102"/>
      <c r="W218" s="100"/>
      <c r="X218" s="101"/>
      <c r="Y218" s="353"/>
    </row>
    <row r="219" spans="1:25" s="350" customFormat="1" ht="15.75" hidden="1" customHeight="1">
      <c r="A219" s="426" t="s">
        <v>666</v>
      </c>
      <c r="B219" s="423">
        <v>624</v>
      </c>
      <c r="C219" s="424"/>
      <c r="D219" s="424"/>
      <c r="E219" s="94">
        <f t="shared" si="13"/>
        <v>0</v>
      </c>
      <c r="F219" s="650">
        <v>0</v>
      </c>
      <c r="G219" s="651"/>
      <c r="H219" s="593">
        <v>0</v>
      </c>
      <c r="I219" s="98">
        <f t="shared" si="14"/>
        <v>0</v>
      </c>
      <c r="J219" s="98">
        <f t="shared" si="14"/>
        <v>0</v>
      </c>
      <c r="K219" s="96">
        <f t="shared" si="15"/>
        <v>0</v>
      </c>
      <c r="L219" s="96"/>
      <c r="M219" s="96">
        <f t="shared" si="16"/>
        <v>0</v>
      </c>
      <c r="N219" s="107">
        <f>SUMIF([1]CRJ!$H$880:$H$894,B219:B624,[1]CRJ!$J$880:$J$894)</f>
        <v>0</v>
      </c>
      <c r="O219" s="100">
        <f>SUMIF([1]CRJ!$H$880:$H$894,B219:B624,[1]CRJ!$K$880:$K$894)</f>
        <v>0</v>
      </c>
      <c r="P219" s="100">
        <f>SUMIF([1]ChkDJ!$H$849:$H$867,B219:B624,[1]ChkDJ!$J$849:$J$867)</f>
        <v>0</v>
      </c>
      <c r="Q219" s="100">
        <f>SUMIF([1]ChkDJ!$H$849:$H$867,B219:B624,[1]ChkDJ!$K$849:$K$867)</f>
        <v>0</v>
      </c>
      <c r="R219" s="100">
        <f>SUMIF([1]CDJ!$H$190:$H$197,B219:B624,[1]CDJ!$J$190:$J$197)</f>
        <v>0</v>
      </c>
      <c r="S219" s="100">
        <f>SUMIF([1]CDJ!$H$190:$H$197,B219:B624,[1]CDJ!$K$190:$K$197)</f>
        <v>0</v>
      </c>
      <c r="T219" s="102">
        <f>SUMIF([1]GL!$H$448:$H$480,B219:B629,[1]GL!$J$448:$J$487)</f>
        <v>0</v>
      </c>
      <c r="U219" s="100">
        <f>SUMIF([1]GL!$H$448:$H$480,B219:B629,[1]GL!$K$448:$K$487)</f>
        <v>0</v>
      </c>
      <c r="V219" s="102"/>
      <c r="W219" s="100"/>
      <c r="X219" s="101"/>
      <c r="Y219" s="353"/>
    </row>
    <row r="220" spans="1:25" s="350" customFormat="1" ht="15.75" hidden="1" customHeight="1">
      <c r="A220" s="426" t="s">
        <v>667</v>
      </c>
      <c r="B220" s="423">
        <v>628</v>
      </c>
      <c r="C220" s="424"/>
      <c r="D220" s="424"/>
      <c r="E220" s="94">
        <f t="shared" si="13"/>
        <v>0</v>
      </c>
      <c r="F220" s="650">
        <v>0</v>
      </c>
      <c r="G220" s="651"/>
      <c r="H220" s="593">
        <v>0</v>
      </c>
      <c r="I220" s="98">
        <f t="shared" si="14"/>
        <v>0</v>
      </c>
      <c r="J220" s="98">
        <f t="shared" si="14"/>
        <v>0</v>
      </c>
      <c r="K220" s="96">
        <f t="shared" si="15"/>
        <v>0</v>
      </c>
      <c r="L220" s="96"/>
      <c r="M220" s="96">
        <f t="shared" si="16"/>
        <v>0</v>
      </c>
      <c r="N220" s="107">
        <f>SUMIF([1]CRJ!$H$880:$H$894,B220:B625,[1]CRJ!$J$880:$J$894)</f>
        <v>0</v>
      </c>
      <c r="O220" s="100">
        <f>SUMIF([1]CRJ!$H$880:$H$894,B220:B625,[1]CRJ!$K$880:$K$894)</f>
        <v>0</v>
      </c>
      <c r="P220" s="100">
        <f>SUMIF([1]ChkDJ!$H$849:$H$867,B220:B625,[1]ChkDJ!$J$849:$J$867)</f>
        <v>0</v>
      </c>
      <c r="Q220" s="100">
        <f>SUMIF([1]ChkDJ!$H$849:$H$867,B220:B625,[1]ChkDJ!$K$849:$K$867)</f>
        <v>0</v>
      </c>
      <c r="R220" s="100">
        <f>SUMIF([1]CDJ!$H$190:$H$197,B220:B625,[1]CDJ!$J$190:$J$197)</f>
        <v>0</v>
      </c>
      <c r="S220" s="100">
        <f>SUMIF([1]CDJ!$H$190:$H$197,B220:B625,[1]CDJ!$K$190:$K$197)</f>
        <v>0</v>
      </c>
      <c r="T220" s="102">
        <f>SUMIF([1]GL!$H$448:$H$480,B220:B630,[1]GL!$J$448:$J$487)</f>
        <v>0</v>
      </c>
      <c r="U220" s="100">
        <f>SUMIF([1]GL!$H$448:$H$480,B220:B630,[1]GL!$K$448:$K$487)</f>
        <v>0</v>
      </c>
      <c r="V220" s="102"/>
      <c r="W220" s="100"/>
      <c r="X220" s="101"/>
      <c r="Y220" s="353"/>
    </row>
    <row r="221" spans="1:25" s="350" customFormat="1" ht="15.75" hidden="1" customHeight="1">
      <c r="A221" s="426" t="s">
        <v>668</v>
      </c>
      <c r="B221" s="423">
        <v>629</v>
      </c>
      <c r="C221" s="424"/>
      <c r="D221" s="424"/>
      <c r="E221" s="94">
        <f t="shared" si="13"/>
        <v>0</v>
      </c>
      <c r="F221" s="650">
        <v>0</v>
      </c>
      <c r="G221" s="651"/>
      <c r="H221" s="593">
        <v>0</v>
      </c>
      <c r="I221" s="98">
        <f t="shared" si="14"/>
        <v>0</v>
      </c>
      <c r="J221" s="98">
        <f t="shared" si="14"/>
        <v>0</v>
      </c>
      <c r="K221" s="96">
        <f t="shared" si="15"/>
        <v>0</v>
      </c>
      <c r="L221" s="96"/>
      <c r="M221" s="96">
        <f t="shared" si="16"/>
        <v>0</v>
      </c>
      <c r="N221" s="107">
        <f>SUMIF([1]CRJ!$H$880:$H$894,B221:B626,[1]CRJ!$J$880:$J$894)</f>
        <v>0</v>
      </c>
      <c r="O221" s="100">
        <f>SUMIF([1]CRJ!$H$880:$H$894,B221:B626,[1]CRJ!$K$880:$K$894)</f>
        <v>0</v>
      </c>
      <c r="P221" s="100">
        <f>SUMIF([1]ChkDJ!$H$849:$H$867,B221:B626,[1]ChkDJ!$J$849:$J$867)</f>
        <v>0</v>
      </c>
      <c r="Q221" s="100">
        <f>SUMIF([1]ChkDJ!$H$849:$H$867,B221:B626,[1]ChkDJ!$K$849:$K$867)</f>
        <v>0</v>
      </c>
      <c r="R221" s="100">
        <f>SUMIF([1]CDJ!$H$190:$H$197,B221:B626,[1]CDJ!$J$190:$J$197)</f>
        <v>0</v>
      </c>
      <c r="S221" s="100">
        <f>SUMIF([1]CDJ!$H$190:$H$197,B221:B626,[1]CDJ!$K$190:$K$197)</f>
        <v>0</v>
      </c>
      <c r="T221" s="102">
        <f>SUMIF([1]GL!$H$448:$H$480,B221:B631,[1]GL!$J$448:$J$487)</f>
        <v>0</v>
      </c>
      <c r="U221" s="100">
        <f>SUMIF([1]GL!$H$448:$H$480,B221:B631,[1]GL!$K$448:$K$487)</f>
        <v>0</v>
      </c>
      <c r="V221" s="102"/>
      <c r="W221" s="100"/>
      <c r="X221" s="101"/>
      <c r="Y221" s="353"/>
    </row>
    <row r="222" spans="1:25" s="350" customFormat="1" ht="15.75" hidden="1" customHeight="1">
      <c r="A222" s="426" t="s">
        <v>669</v>
      </c>
      <c r="B222" s="423">
        <v>631</v>
      </c>
      <c r="C222" s="424"/>
      <c r="D222" s="424"/>
      <c r="E222" s="94">
        <f t="shared" si="13"/>
        <v>0</v>
      </c>
      <c r="F222" s="650">
        <v>0</v>
      </c>
      <c r="G222" s="651"/>
      <c r="H222" s="593">
        <v>0</v>
      </c>
      <c r="I222" s="98">
        <f t="shared" si="14"/>
        <v>0</v>
      </c>
      <c r="J222" s="98">
        <f t="shared" si="14"/>
        <v>0</v>
      </c>
      <c r="K222" s="96">
        <f t="shared" si="15"/>
        <v>0</v>
      </c>
      <c r="L222" s="96"/>
      <c r="M222" s="96">
        <f t="shared" si="16"/>
        <v>0</v>
      </c>
      <c r="N222" s="107">
        <f>SUMIF([1]CRJ!$H$880:$H$894,B222:B627,[1]CRJ!$J$880:$J$894)</f>
        <v>0</v>
      </c>
      <c r="O222" s="100">
        <f>SUMIF([1]CRJ!$H$880:$H$894,B222:B627,[1]CRJ!$K$880:$K$894)</f>
        <v>0</v>
      </c>
      <c r="P222" s="100">
        <f>SUMIF([1]ChkDJ!$H$849:$H$867,B222:B627,[1]ChkDJ!$J$849:$J$867)</f>
        <v>0</v>
      </c>
      <c r="Q222" s="100">
        <f>SUMIF([1]ChkDJ!$H$849:$H$867,B222:B627,[1]ChkDJ!$K$849:$K$867)</f>
        <v>0</v>
      </c>
      <c r="R222" s="100">
        <f>SUMIF([1]CDJ!$H$190:$H$197,B222:B627,[1]CDJ!$J$190:$J$197)</f>
        <v>0</v>
      </c>
      <c r="S222" s="100">
        <f>SUMIF([1]CDJ!$H$190:$H$197,B222:B627,[1]CDJ!$K$190:$K$197)</f>
        <v>0</v>
      </c>
      <c r="T222" s="102">
        <f>SUMIF([1]GL!$H$448:$H$480,B222:B632,[1]GL!$J$448:$J$487)</f>
        <v>0</v>
      </c>
      <c r="U222" s="100">
        <f>SUMIF([1]GL!$H$448:$H$480,B222:B632,[1]GL!$K$448:$K$487)</f>
        <v>0</v>
      </c>
      <c r="V222" s="102"/>
      <c r="W222" s="100"/>
      <c r="X222" s="101"/>
      <c r="Y222" s="353"/>
    </row>
    <row r="223" spans="1:25" s="350" customFormat="1" ht="15.75" hidden="1" customHeight="1">
      <c r="A223" s="426" t="s">
        <v>670</v>
      </c>
      <c r="B223" s="423">
        <v>632</v>
      </c>
      <c r="C223" s="424"/>
      <c r="D223" s="424"/>
      <c r="E223" s="94">
        <f t="shared" si="13"/>
        <v>0</v>
      </c>
      <c r="F223" s="650">
        <v>0</v>
      </c>
      <c r="G223" s="651"/>
      <c r="H223" s="593">
        <v>0</v>
      </c>
      <c r="I223" s="98">
        <f t="shared" si="14"/>
        <v>0</v>
      </c>
      <c r="J223" s="98">
        <f t="shared" si="14"/>
        <v>0</v>
      </c>
      <c r="K223" s="96">
        <f t="shared" si="15"/>
        <v>0</v>
      </c>
      <c r="L223" s="96"/>
      <c r="M223" s="96">
        <f t="shared" si="16"/>
        <v>0</v>
      </c>
      <c r="N223" s="107">
        <f>SUMIF([1]CRJ!$H$880:$H$894,B223:B628,[1]CRJ!$J$880:$J$894)</f>
        <v>0</v>
      </c>
      <c r="O223" s="100">
        <f>SUMIF([1]CRJ!$H$880:$H$894,B223:B628,[1]CRJ!$K$880:$K$894)</f>
        <v>0</v>
      </c>
      <c r="P223" s="100">
        <f>SUMIF([1]ChkDJ!$H$849:$H$867,B223:B628,[1]ChkDJ!$J$849:$J$867)</f>
        <v>0</v>
      </c>
      <c r="Q223" s="100">
        <f>SUMIF([1]ChkDJ!$H$849:$H$867,B223:B628,[1]ChkDJ!$K$849:$K$867)</f>
        <v>0</v>
      </c>
      <c r="R223" s="100">
        <f>SUMIF([1]CDJ!$H$190:$H$197,B223:B628,[1]CDJ!$J$190:$J$197)</f>
        <v>0</v>
      </c>
      <c r="S223" s="100">
        <f>SUMIF([1]CDJ!$H$190:$H$197,B223:B628,[1]CDJ!$K$190:$K$197)</f>
        <v>0</v>
      </c>
      <c r="T223" s="102">
        <f>SUMIF([1]GL!$H$448:$H$480,B223:B633,[1]GL!$J$448:$J$487)</f>
        <v>0</v>
      </c>
      <c r="U223" s="100">
        <f>SUMIF([1]GL!$H$448:$H$480,B223:B633,[1]GL!$K$448:$K$487)</f>
        <v>0</v>
      </c>
      <c r="V223" s="102"/>
      <c r="W223" s="100"/>
      <c r="X223" s="101"/>
      <c r="Y223" s="353"/>
    </row>
    <row r="224" spans="1:25" s="350" customFormat="1" ht="15.75" hidden="1" customHeight="1">
      <c r="A224" s="426" t="s">
        <v>671</v>
      </c>
      <c r="B224" s="423">
        <v>633</v>
      </c>
      <c r="C224" s="424"/>
      <c r="D224" s="424"/>
      <c r="E224" s="94">
        <f t="shared" si="13"/>
        <v>0</v>
      </c>
      <c r="F224" s="650">
        <v>0</v>
      </c>
      <c r="G224" s="651"/>
      <c r="H224" s="593">
        <v>0</v>
      </c>
      <c r="I224" s="98">
        <f t="shared" si="14"/>
        <v>0</v>
      </c>
      <c r="J224" s="98">
        <f t="shared" si="14"/>
        <v>0</v>
      </c>
      <c r="K224" s="96">
        <f t="shared" si="15"/>
        <v>0</v>
      </c>
      <c r="L224" s="96"/>
      <c r="M224" s="96">
        <f t="shared" si="16"/>
        <v>0</v>
      </c>
      <c r="N224" s="107">
        <f>SUMIF([1]CRJ!$H$880:$H$894,B224:B629,[1]CRJ!$J$880:$J$894)</f>
        <v>0</v>
      </c>
      <c r="O224" s="100">
        <f>SUMIF([1]CRJ!$H$880:$H$894,B224:B629,[1]CRJ!$K$880:$K$894)</f>
        <v>0</v>
      </c>
      <c r="P224" s="100">
        <f>SUMIF([1]ChkDJ!$H$849:$H$867,B224:B629,[1]ChkDJ!$J$849:$J$867)</f>
        <v>0</v>
      </c>
      <c r="Q224" s="100">
        <f>SUMIF([1]ChkDJ!$H$849:$H$867,B224:B629,[1]ChkDJ!$K$849:$K$867)</f>
        <v>0</v>
      </c>
      <c r="R224" s="100">
        <f>SUMIF([1]CDJ!$H$190:$H$197,B224:B629,[1]CDJ!$J$190:$J$197)</f>
        <v>0</v>
      </c>
      <c r="S224" s="100">
        <f>SUMIF([1]CDJ!$H$190:$H$197,B224:B629,[1]CDJ!$K$190:$K$197)</f>
        <v>0</v>
      </c>
      <c r="T224" s="102">
        <f>SUMIF([1]GL!$H$448:$H$480,B224:B634,[1]GL!$J$448:$J$487)</f>
        <v>0</v>
      </c>
      <c r="U224" s="100">
        <f>SUMIF([1]GL!$H$448:$H$480,B224:B634,[1]GL!$K$448:$K$487)</f>
        <v>0</v>
      </c>
      <c r="V224" s="102"/>
      <c r="W224" s="100"/>
      <c r="X224" s="101"/>
      <c r="Y224" s="353"/>
    </row>
    <row r="225" spans="1:25" s="350" customFormat="1" ht="15.75" hidden="1" customHeight="1">
      <c r="A225" s="426" t="s">
        <v>672</v>
      </c>
      <c r="B225" s="423">
        <v>634</v>
      </c>
      <c r="C225" s="424"/>
      <c r="D225" s="424"/>
      <c r="E225" s="94">
        <f t="shared" si="13"/>
        <v>0</v>
      </c>
      <c r="F225" s="650">
        <v>0</v>
      </c>
      <c r="G225" s="651"/>
      <c r="H225" s="593">
        <v>0</v>
      </c>
      <c r="I225" s="98">
        <f t="shared" si="14"/>
        <v>0</v>
      </c>
      <c r="J225" s="98">
        <f t="shared" si="14"/>
        <v>0</v>
      </c>
      <c r="K225" s="96">
        <f t="shared" si="15"/>
        <v>0</v>
      </c>
      <c r="L225" s="96"/>
      <c r="M225" s="96">
        <f t="shared" si="16"/>
        <v>0</v>
      </c>
      <c r="N225" s="107">
        <f>SUMIF([1]CRJ!$H$880:$H$894,B225:B630,[1]CRJ!$J$880:$J$894)</f>
        <v>0</v>
      </c>
      <c r="O225" s="100">
        <f>SUMIF([1]CRJ!$H$880:$H$894,B225:B630,[1]CRJ!$K$880:$K$894)</f>
        <v>0</v>
      </c>
      <c r="P225" s="100">
        <f>SUMIF([1]ChkDJ!$H$849:$H$867,B225:B630,[1]ChkDJ!$J$849:$J$867)</f>
        <v>0</v>
      </c>
      <c r="Q225" s="100">
        <f>SUMIF([1]ChkDJ!$H$849:$H$867,B225:B630,[1]ChkDJ!$K$849:$K$867)</f>
        <v>0</v>
      </c>
      <c r="R225" s="100">
        <f>SUMIF([1]CDJ!$H$190:$H$197,B225:B630,[1]CDJ!$J$190:$J$197)</f>
        <v>0</v>
      </c>
      <c r="S225" s="100">
        <f>SUMIF([1]CDJ!$H$190:$H$197,B225:B630,[1]CDJ!$K$190:$K$197)</f>
        <v>0</v>
      </c>
      <c r="T225" s="102">
        <f>SUMIF([1]GL!$H$448:$H$480,B225:B635,[1]GL!$J$448:$J$487)</f>
        <v>0</v>
      </c>
      <c r="U225" s="100">
        <f>SUMIF([1]GL!$H$448:$H$480,B225:B635,[1]GL!$K$448:$K$487)</f>
        <v>0</v>
      </c>
      <c r="V225" s="102"/>
      <c r="W225" s="100"/>
      <c r="X225" s="101"/>
      <c r="Y225" s="353"/>
    </row>
    <row r="226" spans="1:25" s="350" customFormat="1" ht="15.75" hidden="1" customHeight="1">
      <c r="A226" s="426" t="s">
        <v>673</v>
      </c>
      <c r="B226" s="423">
        <v>635</v>
      </c>
      <c r="C226" s="424"/>
      <c r="D226" s="424"/>
      <c r="E226" s="94">
        <f t="shared" si="13"/>
        <v>0</v>
      </c>
      <c r="F226" s="650">
        <v>0</v>
      </c>
      <c r="G226" s="651"/>
      <c r="H226" s="593">
        <v>0</v>
      </c>
      <c r="I226" s="98">
        <f t="shared" si="14"/>
        <v>0</v>
      </c>
      <c r="J226" s="98">
        <f t="shared" si="14"/>
        <v>0</v>
      </c>
      <c r="K226" s="96">
        <f t="shared" si="15"/>
        <v>0</v>
      </c>
      <c r="L226" s="96"/>
      <c r="M226" s="96">
        <f t="shared" si="16"/>
        <v>0</v>
      </c>
      <c r="N226" s="107">
        <f>SUMIF([1]CRJ!$H$880:$H$894,B226:B631,[1]CRJ!$J$880:$J$894)</f>
        <v>0</v>
      </c>
      <c r="O226" s="100">
        <f>SUMIF([1]CRJ!$H$880:$H$894,B226:B631,[1]CRJ!$K$880:$K$894)</f>
        <v>0</v>
      </c>
      <c r="P226" s="100">
        <f>SUMIF([1]ChkDJ!$H$849:$H$867,B226:B631,[1]ChkDJ!$J$849:$J$867)</f>
        <v>0</v>
      </c>
      <c r="Q226" s="100">
        <f>SUMIF([1]ChkDJ!$H$849:$H$867,B226:B631,[1]ChkDJ!$K$849:$K$867)</f>
        <v>0</v>
      </c>
      <c r="R226" s="100">
        <f>SUMIF([1]CDJ!$H$190:$H$197,B226:B631,[1]CDJ!$J$190:$J$197)</f>
        <v>0</v>
      </c>
      <c r="S226" s="100">
        <f>SUMIF([1]CDJ!$H$190:$H$197,B226:B631,[1]CDJ!$K$190:$K$197)</f>
        <v>0</v>
      </c>
      <c r="T226" s="102">
        <f>SUMIF([1]GL!$H$448:$H$480,B226:B636,[1]GL!$J$448:$J$487)</f>
        <v>0</v>
      </c>
      <c r="U226" s="100">
        <f>SUMIF([1]GL!$H$448:$H$480,B226:B636,[1]GL!$K$448:$K$487)</f>
        <v>0</v>
      </c>
      <c r="V226" s="102"/>
      <c r="W226" s="100"/>
      <c r="X226" s="101"/>
      <c r="Y226" s="353"/>
    </row>
    <row r="227" spans="1:25" s="350" customFormat="1" ht="15.75" hidden="1" customHeight="1">
      <c r="A227" s="426" t="s">
        <v>674</v>
      </c>
      <c r="B227" s="423">
        <v>636</v>
      </c>
      <c r="C227" s="424"/>
      <c r="D227" s="424"/>
      <c r="E227" s="94">
        <f t="shared" si="13"/>
        <v>0</v>
      </c>
      <c r="F227" s="650">
        <v>0</v>
      </c>
      <c r="G227" s="651"/>
      <c r="H227" s="593">
        <v>0</v>
      </c>
      <c r="I227" s="98">
        <f t="shared" si="14"/>
        <v>0</v>
      </c>
      <c r="J227" s="98">
        <f t="shared" si="14"/>
        <v>0</v>
      </c>
      <c r="K227" s="96">
        <f t="shared" si="15"/>
        <v>0</v>
      </c>
      <c r="L227" s="96"/>
      <c r="M227" s="96">
        <f t="shared" si="16"/>
        <v>0</v>
      </c>
      <c r="N227" s="107">
        <f>SUMIF([1]CRJ!$H$880:$H$894,B227:B632,[1]CRJ!$J$880:$J$894)</f>
        <v>0</v>
      </c>
      <c r="O227" s="100">
        <f>SUMIF([1]CRJ!$H$880:$H$894,B227:B632,[1]CRJ!$K$880:$K$894)</f>
        <v>0</v>
      </c>
      <c r="P227" s="100">
        <f>SUMIF([1]ChkDJ!$H$849:$H$867,B227:B632,[1]ChkDJ!$J$849:$J$867)</f>
        <v>0</v>
      </c>
      <c r="Q227" s="100">
        <f>SUMIF([1]ChkDJ!$H$849:$H$867,B227:B632,[1]ChkDJ!$K$849:$K$867)</f>
        <v>0</v>
      </c>
      <c r="R227" s="100">
        <f>SUMIF([1]CDJ!$H$190:$H$197,B227:B632,[1]CDJ!$J$190:$J$197)</f>
        <v>0</v>
      </c>
      <c r="S227" s="100">
        <f>SUMIF([1]CDJ!$H$190:$H$197,B227:B632,[1]CDJ!$K$190:$K$197)</f>
        <v>0</v>
      </c>
      <c r="T227" s="102">
        <f>SUMIF([1]GL!$H$448:$H$480,B227:B637,[1]GL!$J$448:$J$487)</f>
        <v>0</v>
      </c>
      <c r="U227" s="100">
        <f>SUMIF([1]GL!$H$448:$H$480,B227:B637,[1]GL!$K$448:$K$487)</f>
        <v>0</v>
      </c>
      <c r="V227" s="102"/>
      <c r="W227" s="100"/>
      <c r="X227" s="101"/>
      <c r="Y227" s="353"/>
    </row>
    <row r="228" spans="1:25" s="350" customFormat="1" ht="15.75" hidden="1" customHeight="1">
      <c r="A228" s="426" t="s">
        <v>675</v>
      </c>
      <c r="B228" s="423">
        <v>637</v>
      </c>
      <c r="C228" s="424"/>
      <c r="D228" s="424"/>
      <c r="E228" s="94">
        <f t="shared" si="13"/>
        <v>0</v>
      </c>
      <c r="F228" s="650">
        <v>0</v>
      </c>
      <c r="G228" s="651"/>
      <c r="H228" s="593">
        <v>0</v>
      </c>
      <c r="I228" s="98">
        <f t="shared" si="14"/>
        <v>0</v>
      </c>
      <c r="J228" s="98">
        <f t="shared" si="14"/>
        <v>0</v>
      </c>
      <c r="K228" s="96">
        <f t="shared" si="15"/>
        <v>0</v>
      </c>
      <c r="L228" s="96"/>
      <c r="M228" s="96">
        <f t="shared" si="16"/>
        <v>0</v>
      </c>
      <c r="N228" s="107">
        <f>SUMIF([1]CRJ!$H$880:$H$894,B228:B633,[1]CRJ!$J$880:$J$894)</f>
        <v>0</v>
      </c>
      <c r="O228" s="100">
        <f>SUMIF([1]CRJ!$H$880:$H$894,B228:B633,[1]CRJ!$K$880:$K$894)</f>
        <v>0</v>
      </c>
      <c r="P228" s="100">
        <f>SUMIF([1]ChkDJ!$H$849:$H$867,B228:B633,[1]ChkDJ!$J$849:$J$867)</f>
        <v>0</v>
      </c>
      <c r="Q228" s="100">
        <f>SUMIF([1]ChkDJ!$H$849:$H$867,B228:B633,[1]ChkDJ!$K$849:$K$867)</f>
        <v>0</v>
      </c>
      <c r="R228" s="100">
        <f>SUMIF([1]CDJ!$H$190:$H$197,B228:B633,[1]CDJ!$J$190:$J$197)</f>
        <v>0</v>
      </c>
      <c r="S228" s="100">
        <f>SUMIF([1]CDJ!$H$190:$H$197,B228:B633,[1]CDJ!$K$190:$K$197)</f>
        <v>0</v>
      </c>
      <c r="T228" s="102">
        <f>SUMIF([1]GL!$H$448:$H$480,B228:B638,[1]GL!$J$448:$J$487)</f>
        <v>0</v>
      </c>
      <c r="U228" s="100">
        <f>SUMIF([1]GL!$H$448:$H$480,B228:B638,[1]GL!$K$448:$K$487)</f>
        <v>0</v>
      </c>
      <c r="V228" s="102"/>
      <c r="W228" s="100"/>
      <c r="X228" s="101"/>
      <c r="Y228" s="353"/>
    </row>
    <row r="229" spans="1:25" s="350" customFormat="1" ht="15.75" hidden="1" customHeight="1">
      <c r="A229" s="426" t="s">
        <v>676</v>
      </c>
      <c r="B229" s="423">
        <v>638</v>
      </c>
      <c r="C229" s="424"/>
      <c r="D229" s="424"/>
      <c r="E229" s="94">
        <f t="shared" si="13"/>
        <v>0</v>
      </c>
      <c r="F229" s="650">
        <v>0</v>
      </c>
      <c r="G229" s="651"/>
      <c r="H229" s="593">
        <v>0</v>
      </c>
      <c r="I229" s="98">
        <f t="shared" si="14"/>
        <v>0</v>
      </c>
      <c r="J229" s="98">
        <f t="shared" si="14"/>
        <v>0</v>
      </c>
      <c r="K229" s="96">
        <f t="shared" si="15"/>
        <v>0</v>
      </c>
      <c r="L229" s="96"/>
      <c r="M229" s="96">
        <f t="shared" si="16"/>
        <v>0</v>
      </c>
      <c r="N229" s="107">
        <f>SUMIF([1]CRJ!$H$880:$H$894,B229:B634,[1]CRJ!$J$880:$J$894)</f>
        <v>0</v>
      </c>
      <c r="O229" s="100">
        <f>SUMIF([1]CRJ!$H$880:$H$894,B229:B634,[1]CRJ!$K$880:$K$894)</f>
        <v>0</v>
      </c>
      <c r="P229" s="100">
        <f>SUMIF([1]ChkDJ!$H$849:$H$867,B229:B634,[1]ChkDJ!$J$849:$J$867)</f>
        <v>0</v>
      </c>
      <c r="Q229" s="100">
        <f>SUMIF([1]ChkDJ!$H$849:$H$867,B229:B634,[1]ChkDJ!$K$849:$K$867)</f>
        <v>0</v>
      </c>
      <c r="R229" s="100">
        <f>SUMIF([1]CDJ!$H$190:$H$197,B229:B634,[1]CDJ!$J$190:$J$197)</f>
        <v>0</v>
      </c>
      <c r="S229" s="100">
        <f>SUMIF([1]CDJ!$H$190:$H$197,B229:B634,[1]CDJ!$K$190:$K$197)</f>
        <v>0</v>
      </c>
      <c r="T229" s="102">
        <f>SUMIF([1]GL!$H$448:$H$480,B229:B639,[1]GL!$J$448:$J$487)</f>
        <v>0</v>
      </c>
      <c r="U229" s="100">
        <f>SUMIF([1]GL!$H$448:$H$480,B229:B639,[1]GL!$K$448:$K$487)</f>
        <v>0</v>
      </c>
      <c r="V229" s="102"/>
      <c r="W229" s="100"/>
      <c r="X229" s="101"/>
      <c r="Y229" s="353"/>
    </row>
    <row r="230" spans="1:25" s="350" customFormat="1" ht="15.75" hidden="1" customHeight="1">
      <c r="A230" s="426" t="s">
        <v>677</v>
      </c>
      <c r="B230" s="423">
        <v>639</v>
      </c>
      <c r="C230" s="424"/>
      <c r="D230" s="424"/>
      <c r="E230" s="94">
        <f t="shared" si="13"/>
        <v>0</v>
      </c>
      <c r="F230" s="650">
        <v>0</v>
      </c>
      <c r="G230" s="651"/>
      <c r="H230" s="593">
        <v>0</v>
      </c>
      <c r="I230" s="98">
        <f t="shared" si="14"/>
        <v>0</v>
      </c>
      <c r="J230" s="98">
        <f t="shared" si="14"/>
        <v>0</v>
      </c>
      <c r="K230" s="96">
        <f t="shared" si="15"/>
        <v>0</v>
      </c>
      <c r="L230" s="96"/>
      <c r="M230" s="96">
        <f t="shared" si="16"/>
        <v>0</v>
      </c>
      <c r="N230" s="107">
        <f>SUMIF([1]CRJ!$H$880:$H$894,B230:B635,[1]CRJ!$J$880:$J$894)</f>
        <v>0</v>
      </c>
      <c r="O230" s="100">
        <f>SUMIF([1]CRJ!$H$880:$H$894,B230:B635,[1]CRJ!$K$880:$K$894)</f>
        <v>0</v>
      </c>
      <c r="P230" s="100">
        <f>SUMIF([1]ChkDJ!$H$849:$H$867,B230:B635,[1]ChkDJ!$J$849:$J$867)</f>
        <v>0</v>
      </c>
      <c r="Q230" s="100">
        <f>SUMIF([1]ChkDJ!$H$849:$H$867,B230:B635,[1]ChkDJ!$K$849:$K$867)</f>
        <v>0</v>
      </c>
      <c r="R230" s="100">
        <f>SUMIF([1]CDJ!$H$190:$H$197,B230:B635,[1]CDJ!$J$190:$J$197)</f>
        <v>0</v>
      </c>
      <c r="S230" s="100">
        <f>SUMIF([1]CDJ!$H$190:$H$197,B230:B635,[1]CDJ!$K$190:$K$197)</f>
        <v>0</v>
      </c>
      <c r="T230" s="102">
        <f>SUMIF([1]GL!$H$448:$H$480,B230:B640,[1]GL!$J$448:$J$487)</f>
        <v>0</v>
      </c>
      <c r="U230" s="100">
        <f>SUMIF([1]GL!$H$448:$H$480,B230:B640,[1]GL!$K$448:$K$487)</f>
        <v>0</v>
      </c>
      <c r="V230" s="102"/>
      <c r="W230" s="100"/>
      <c r="X230" s="101"/>
      <c r="Y230" s="353"/>
    </row>
    <row r="231" spans="1:25" s="350" customFormat="1" ht="15.75" hidden="1" customHeight="1">
      <c r="A231" s="426" t="s">
        <v>678</v>
      </c>
      <c r="B231" s="423">
        <v>640</v>
      </c>
      <c r="C231" s="424"/>
      <c r="D231" s="424"/>
      <c r="E231" s="94">
        <f t="shared" si="13"/>
        <v>0</v>
      </c>
      <c r="F231" s="650">
        <v>0</v>
      </c>
      <c r="G231" s="651"/>
      <c r="H231" s="593">
        <v>0</v>
      </c>
      <c r="I231" s="98">
        <f t="shared" si="14"/>
        <v>0</v>
      </c>
      <c r="J231" s="98">
        <f t="shared" si="14"/>
        <v>0</v>
      </c>
      <c r="K231" s="96">
        <f t="shared" si="15"/>
        <v>0</v>
      </c>
      <c r="L231" s="96"/>
      <c r="M231" s="96">
        <f t="shared" si="16"/>
        <v>0</v>
      </c>
      <c r="N231" s="107">
        <f>SUMIF([1]CRJ!$H$880:$H$894,B231:B636,[1]CRJ!$J$880:$J$894)</f>
        <v>0</v>
      </c>
      <c r="O231" s="100">
        <f>SUMIF([1]CRJ!$H$880:$H$894,B231:B636,[1]CRJ!$K$880:$K$894)</f>
        <v>0</v>
      </c>
      <c r="P231" s="100">
        <f>SUMIF([1]ChkDJ!$H$849:$H$867,B231:B636,[1]ChkDJ!$J$849:$J$867)</f>
        <v>0</v>
      </c>
      <c r="Q231" s="100">
        <f>SUMIF([1]ChkDJ!$H$849:$H$867,B231:B636,[1]ChkDJ!$K$849:$K$867)</f>
        <v>0</v>
      </c>
      <c r="R231" s="100">
        <f>SUMIF([1]CDJ!$H$190:$H$197,B231:B636,[1]CDJ!$J$190:$J$197)</f>
        <v>0</v>
      </c>
      <c r="S231" s="100">
        <f>SUMIF([1]CDJ!$H$190:$H$197,B231:B636,[1]CDJ!$K$190:$K$197)</f>
        <v>0</v>
      </c>
      <c r="T231" s="102">
        <f>SUMIF([1]GL!$H$448:$H$480,B231:B641,[1]GL!$J$448:$J$487)</f>
        <v>0</v>
      </c>
      <c r="U231" s="100">
        <f>SUMIF([1]GL!$H$448:$H$480,B231:B641,[1]GL!$K$448:$K$487)</f>
        <v>0</v>
      </c>
      <c r="V231" s="102"/>
      <c r="W231" s="100"/>
      <c r="X231" s="101"/>
      <c r="Y231" s="353"/>
    </row>
    <row r="232" spans="1:25" s="350" customFormat="1" ht="15.75" hidden="1" customHeight="1">
      <c r="A232" s="426" t="s">
        <v>679</v>
      </c>
      <c r="B232" s="423">
        <v>641</v>
      </c>
      <c r="C232" s="424"/>
      <c r="D232" s="424"/>
      <c r="E232" s="94">
        <f t="shared" si="13"/>
        <v>0</v>
      </c>
      <c r="F232" s="650">
        <v>0</v>
      </c>
      <c r="G232" s="651"/>
      <c r="H232" s="593">
        <v>0</v>
      </c>
      <c r="I232" s="98">
        <f t="shared" si="14"/>
        <v>0</v>
      </c>
      <c r="J232" s="98">
        <f t="shared" si="14"/>
        <v>0</v>
      </c>
      <c r="K232" s="96">
        <f t="shared" si="15"/>
        <v>0</v>
      </c>
      <c r="L232" s="96"/>
      <c r="M232" s="96">
        <f t="shared" si="16"/>
        <v>0</v>
      </c>
      <c r="N232" s="107">
        <f>SUMIF([1]CRJ!$H$880:$H$894,B232:B637,[1]CRJ!$J$880:$J$894)</f>
        <v>0</v>
      </c>
      <c r="O232" s="100">
        <f>SUMIF([1]CRJ!$H$880:$H$894,B232:B637,[1]CRJ!$K$880:$K$894)</f>
        <v>0</v>
      </c>
      <c r="P232" s="100">
        <f>SUMIF([1]ChkDJ!$H$849:$H$867,B232:B637,[1]ChkDJ!$J$849:$J$867)</f>
        <v>0</v>
      </c>
      <c r="Q232" s="100">
        <f>SUMIF([1]ChkDJ!$H$849:$H$867,B232:B637,[1]ChkDJ!$K$849:$K$867)</f>
        <v>0</v>
      </c>
      <c r="R232" s="100">
        <f>SUMIF([1]CDJ!$H$190:$H$197,B232:B637,[1]CDJ!$J$190:$J$197)</f>
        <v>0</v>
      </c>
      <c r="S232" s="100">
        <f>SUMIF([1]CDJ!$H$190:$H$197,B232:B637,[1]CDJ!$K$190:$K$197)</f>
        <v>0</v>
      </c>
      <c r="T232" s="102">
        <f>SUMIF([1]GL!$H$448:$H$480,B232:B642,[1]GL!$J$448:$J$487)</f>
        <v>0</v>
      </c>
      <c r="U232" s="100">
        <f>SUMIF([1]GL!$H$448:$H$480,B232:B642,[1]GL!$K$448:$K$487)</f>
        <v>0</v>
      </c>
      <c r="V232" s="102"/>
      <c r="W232" s="100"/>
      <c r="X232" s="101"/>
      <c r="Y232" s="353"/>
    </row>
    <row r="233" spans="1:25" s="350" customFormat="1" ht="15.75" hidden="1" customHeight="1">
      <c r="A233" s="426" t="s">
        <v>680</v>
      </c>
      <c r="B233" s="423">
        <v>642</v>
      </c>
      <c r="C233" s="424"/>
      <c r="D233" s="424"/>
      <c r="E233" s="94">
        <f t="shared" si="13"/>
        <v>0</v>
      </c>
      <c r="F233" s="650">
        <v>0</v>
      </c>
      <c r="G233" s="651"/>
      <c r="H233" s="593">
        <v>0</v>
      </c>
      <c r="I233" s="98">
        <f t="shared" si="14"/>
        <v>0</v>
      </c>
      <c r="J233" s="98">
        <f t="shared" si="14"/>
        <v>0</v>
      </c>
      <c r="K233" s="96">
        <f t="shared" si="15"/>
        <v>0</v>
      </c>
      <c r="L233" s="96"/>
      <c r="M233" s="96">
        <f t="shared" si="16"/>
        <v>0</v>
      </c>
      <c r="N233" s="107">
        <f>SUMIF([1]CRJ!$H$880:$H$894,B233:B638,[1]CRJ!$J$880:$J$894)</f>
        <v>0</v>
      </c>
      <c r="O233" s="100">
        <f>SUMIF([1]CRJ!$H$880:$H$894,B233:B638,[1]CRJ!$K$880:$K$894)</f>
        <v>0</v>
      </c>
      <c r="P233" s="100">
        <f>SUMIF([1]ChkDJ!$H$849:$H$867,B233:B638,[1]ChkDJ!$J$849:$J$867)</f>
        <v>0</v>
      </c>
      <c r="Q233" s="100">
        <f>SUMIF([1]ChkDJ!$H$849:$H$867,B233:B638,[1]ChkDJ!$K$849:$K$867)</f>
        <v>0</v>
      </c>
      <c r="R233" s="100">
        <f>SUMIF([1]CDJ!$H$190:$H$197,B233:B638,[1]CDJ!$J$190:$J$197)</f>
        <v>0</v>
      </c>
      <c r="S233" s="100">
        <f>SUMIF([1]CDJ!$H$190:$H$197,B233:B638,[1]CDJ!$K$190:$K$197)</f>
        <v>0</v>
      </c>
      <c r="T233" s="102">
        <f>SUMIF([1]GL!$H$448:$H$480,B233:B643,[1]GL!$J$448:$J$487)</f>
        <v>0</v>
      </c>
      <c r="U233" s="100">
        <f>SUMIF([1]GL!$H$448:$H$480,B233:B643,[1]GL!$K$448:$K$487)</f>
        <v>0</v>
      </c>
      <c r="V233" s="102"/>
      <c r="W233" s="100"/>
      <c r="X233" s="101"/>
      <c r="Y233" s="353"/>
    </row>
    <row r="234" spans="1:25" s="350" customFormat="1" ht="15.75" hidden="1" customHeight="1">
      <c r="A234" s="426" t="s">
        <v>681</v>
      </c>
      <c r="B234" s="423">
        <v>643</v>
      </c>
      <c r="C234" s="424"/>
      <c r="D234" s="424"/>
      <c r="E234" s="94">
        <f t="shared" si="13"/>
        <v>0</v>
      </c>
      <c r="F234" s="650">
        <v>0</v>
      </c>
      <c r="G234" s="651"/>
      <c r="H234" s="593">
        <v>0</v>
      </c>
      <c r="I234" s="98">
        <f t="shared" si="14"/>
        <v>0</v>
      </c>
      <c r="J234" s="98">
        <f t="shared" si="14"/>
        <v>0</v>
      </c>
      <c r="K234" s="96">
        <f t="shared" si="15"/>
        <v>0</v>
      </c>
      <c r="L234" s="96"/>
      <c r="M234" s="96">
        <f t="shared" si="16"/>
        <v>0</v>
      </c>
      <c r="N234" s="107">
        <f>SUMIF([1]CRJ!$H$880:$H$894,B234:B639,[1]CRJ!$J$880:$J$894)</f>
        <v>0</v>
      </c>
      <c r="O234" s="100">
        <f>SUMIF([1]CRJ!$H$880:$H$894,B234:B639,[1]CRJ!$K$880:$K$894)</f>
        <v>0</v>
      </c>
      <c r="P234" s="100">
        <f>SUMIF([1]ChkDJ!$H$849:$H$867,B234:B639,[1]ChkDJ!$J$849:$J$867)</f>
        <v>0</v>
      </c>
      <c r="Q234" s="100">
        <f>SUMIF([1]ChkDJ!$H$849:$H$867,B234:B639,[1]ChkDJ!$K$849:$K$867)</f>
        <v>0</v>
      </c>
      <c r="R234" s="100">
        <f>SUMIF([1]CDJ!$H$190:$H$197,B234:B639,[1]CDJ!$J$190:$J$197)</f>
        <v>0</v>
      </c>
      <c r="S234" s="100">
        <f>SUMIF([1]CDJ!$H$190:$H$197,B234:B639,[1]CDJ!$K$190:$K$197)</f>
        <v>0</v>
      </c>
      <c r="T234" s="102">
        <f>SUMIF([1]GL!$H$448:$H$480,B234:B644,[1]GL!$J$448:$J$487)</f>
        <v>0</v>
      </c>
      <c r="U234" s="100">
        <f>SUMIF([1]GL!$H$448:$H$480,B234:B644,[1]GL!$K$448:$K$487)</f>
        <v>0</v>
      </c>
      <c r="V234" s="102"/>
      <c r="W234" s="100"/>
      <c r="X234" s="101"/>
      <c r="Y234" s="353"/>
    </row>
    <row r="235" spans="1:25" s="350" customFormat="1" ht="15.75" hidden="1" customHeight="1">
      <c r="A235" s="426" t="s">
        <v>682</v>
      </c>
      <c r="B235" s="423">
        <v>644</v>
      </c>
      <c r="C235" s="424"/>
      <c r="D235" s="424"/>
      <c r="E235" s="94">
        <f t="shared" si="13"/>
        <v>0</v>
      </c>
      <c r="F235" s="650">
        <v>0</v>
      </c>
      <c r="G235" s="651"/>
      <c r="H235" s="593">
        <v>0</v>
      </c>
      <c r="I235" s="98">
        <f t="shared" si="14"/>
        <v>0</v>
      </c>
      <c r="J235" s="98">
        <f t="shared" si="14"/>
        <v>0</v>
      </c>
      <c r="K235" s="96">
        <f t="shared" si="15"/>
        <v>0</v>
      </c>
      <c r="L235" s="96"/>
      <c r="M235" s="96">
        <f t="shared" si="16"/>
        <v>0</v>
      </c>
      <c r="N235" s="107">
        <f>SUMIF([1]CRJ!$H$880:$H$894,B235:B640,[1]CRJ!$J$880:$J$894)</f>
        <v>0</v>
      </c>
      <c r="O235" s="100">
        <f>SUMIF([1]CRJ!$H$880:$H$894,B235:B640,[1]CRJ!$K$880:$K$894)</f>
        <v>0</v>
      </c>
      <c r="P235" s="100">
        <f>SUMIF([1]ChkDJ!$H$849:$H$867,B235:B640,[1]ChkDJ!$J$849:$J$867)</f>
        <v>0</v>
      </c>
      <c r="Q235" s="100">
        <f>SUMIF([1]ChkDJ!$H$849:$H$867,B235:B640,[1]ChkDJ!$K$849:$K$867)</f>
        <v>0</v>
      </c>
      <c r="R235" s="100">
        <f>SUMIF([1]CDJ!$H$190:$H$197,B235:B640,[1]CDJ!$J$190:$J$197)</f>
        <v>0</v>
      </c>
      <c r="S235" s="100">
        <f>SUMIF([1]CDJ!$H$190:$H$197,B235:B640,[1]CDJ!$K$190:$K$197)</f>
        <v>0</v>
      </c>
      <c r="T235" s="102">
        <f>SUMIF([1]GL!$H$448:$H$480,B235:B645,[1]GL!$J$448:$J$487)</f>
        <v>0</v>
      </c>
      <c r="U235" s="100">
        <f>SUMIF([1]GL!$H$448:$H$480,B235:B645,[1]GL!$K$448:$K$487)</f>
        <v>0</v>
      </c>
      <c r="V235" s="102"/>
      <c r="W235" s="100"/>
      <c r="X235" s="101"/>
      <c r="Y235" s="353"/>
    </row>
    <row r="236" spans="1:25" s="350" customFormat="1" ht="15.75" hidden="1" customHeight="1">
      <c r="A236" s="426" t="s">
        <v>683</v>
      </c>
      <c r="B236" s="423">
        <v>648</v>
      </c>
      <c r="C236" s="424"/>
      <c r="D236" s="424"/>
      <c r="E236" s="94">
        <f t="shared" si="13"/>
        <v>0</v>
      </c>
      <c r="F236" s="650">
        <v>0</v>
      </c>
      <c r="G236" s="651"/>
      <c r="H236" s="593">
        <v>0</v>
      </c>
      <c r="I236" s="98">
        <f t="shared" si="14"/>
        <v>0</v>
      </c>
      <c r="J236" s="98">
        <f t="shared" si="14"/>
        <v>0</v>
      </c>
      <c r="K236" s="96">
        <f t="shared" si="15"/>
        <v>0</v>
      </c>
      <c r="L236" s="96"/>
      <c r="M236" s="96">
        <f t="shared" si="16"/>
        <v>0</v>
      </c>
      <c r="N236" s="107">
        <f>SUMIF([1]CRJ!$H$880:$H$894,B236:B641,[1]CRJ!$J$880:$J$894)</f>
        <v>0</v>
      </c>
      <c r="O236" s="100">
        <f>SUMIF([1]CRJ!$H$880:$H$894,B236:B641,[1]CRJ!$K$880:$K$894)</f>
        <v>0</v>
      </c>
      <c r="P236" s="100">
        <f>SUMIF([1]ChkDJ!$H$849:$H$867,B236:B641,[1]ChkDJ!$J$849:$J$867)</f>
        <v>0</v>
      </c>
      <c r="Q236" s="100">
        <f>SUMIF([1]ChkDJ!$H$849:$H$867,B236:B641,[1]ChkDJ!$K$849:$K$867)</f>
        <v>0</v>
      </c>
      <c r="R236" s="100">
        <f>SUMIF([1]CDJ!$H$190:$H$197,B236:B641,[1]CDJ!$J$190:$J$197)</f>
        <v>0</v>
      </c>
      <c r="S236" s="100">
        <f>SUMIF([1]CDJ!$H$190:$H$197,B236:B641,[1]CDJ!$K$190:$K$197)</f>
        <v>0</v>
      </c>
      <c r="T236" s="102">
        <f>SUMIF([1]GL!$H$448:$H$480,B236:B646,[1]GL!$J$448:$J$487)</f>
        <v>0</v>
      </c>
      <c r="U236" s="100">
        <f>SUMIF([1]GL!$H$448:$H$480,B236:B646,[1]GL!$K$448:$K$487)</f>
        <v>0</v>
      </c>
      <c r="V236" s="102"/>
      <c r="W236" s="100"/>
      <c r="X236" s="101"/>
      <c r="Y236" s="353"/>
    </row>
    <row r="237" spans="1:25" s="350" customFormat="1" ht="15.75" hidden="1" customHeight="1">
      <c r="A237" s="426" t="s">
        <v>684</v>
      </c>
      <c r="B237" s="423">
        <v>649</v>
      </c>
      <c r="C237" s="424"/>
      <c r="D237" s="424"/>
      <c r="E237" s="94">
        <f t="shared" si="13"/>
        <v>0</v>
      </c>
      <c r="F237" s="650">
        <v>0</v>
      </c>
      <c r="G237" s="651"/>
      <c r="H237" s="593">
        <v>0</v>
      </c>
      <c r="I237" s="98">
        <f t="shared" si="14"/>
        <v>0</v>
      </c>
      <c r="J237" s="98">
        <f t="shared" si="14"/>
        <v>0</v>
      </c>
      <c r="K237" s="96">
        <f t="shared" si="15"/>
        <v>0</v>
      </c>
      <c r="L237" s="96"/>
      <c r="M237" s="96">
        <f t="shared" si="16"/>
        <v>0</v>
      </c>
      <c r="N237" s="107">
        <f>SUMIF([1]CRJ!$H$880:$H$894,B237:B642,[1]CRJ!$J$880:$J$894)</f>
        <v>0</v>
      </c>
      <c r="O237" s="100">
        <f>SUMIF([1]CRJ!$H$880:$H$894,B237:B642,[1]CRJ!$K$880:$K$894)</f>
        <v>0</v>
      </c>
      <c r="P237" s="100">
        <f>SUMIF([1]ChkDJ!$H$849:$H$867,B237:B642,[1]ChkDJ!$J$849:$J$867)</f>
        <v>0</v>
      </c>
      <c r="Q237" s="100">
        <f>SUMIF([1]ChkDJ!$H$849:$H$867,B237:B642,[1]ChkDJ!$K$849:$K$867)</f>
        <v>0</v>
      </c>
      <c r="R237" s="100">
        <f>SUMIF([1]CDJ!$H$190:$H$197,B237:B642,[1]CDJ!$J$190:$J$197)</f>
        <v>0</v>
      </c>
      <c r="S237" s="100">
        <f>SUMIF([1]CDJ!$H$190:$H$197,B237:B642,[1]CDJ!$K$190:$K$197)</f>
        <v>0</v>
      </c>
      <c r="T237" s="102">
        <f>SUMIF([1]GL!$H$448:$H$480,B237:B647,[1]GL!$J$448:$J$487)</f>
        <v>0</v>
      </c>
      <c r="U237" s="100">
        <f>SUMIF([1]GL!$H$448:$H$480,B237:B647,[1]GL!$K$448:$K$487)</f>
        <v>0</v>
      </c>
      <c r="V237" s="102"/>
      <c r="W237" s="100"/>
      <c r="X237" s="101"/>
      <c r="Y237" s="353"/>
    </row>
    <row r="238" spans="1:25" s="350" customFormat="1" ht="15.75" hidden="1" customHeight="1">
      <c r="A238" s="426" t="s">
        <v>685</v>
      </c>
      <c r="B238" s="423">
        <v>652</v>
      </c>
      <c r="C238" s="424"/>
      <c r="D238" s="424"/>
      <c r="E238" s="94">
        <f t="shared" si="13"/>
        <v>0</v>
      </c>
      <c r="F238" s="650">
        <v>0</v>
      </c>
      <c r="G238" s="651"/>
      <c r="H238" s="593">
        <v>0</v>
      </c>
      <c r="I238" s="98">
        <f t="shared" si="14"/>
        <v>0</v>
      </c>
      <c r="J238" s="98">
        <f t="shared" si="14"/>
        <v>0</v>
      </c>
      <c r="K238" s="96">
        <f t="shared" si="15"/>
        <v>0</v>
      </c>
      <c r="L238" s="96"/>
      <c r="M238" s="96">
        <f t="shared" si="16"/>
        <v>0</v>
      </c>
      <c r="N238" s="107">
        <f>SUMIF([1]CRJ!$H$880:$H$894,B238:B643,[1]CRJ!$J$880:$J$894)</f>
        <v>0</v>
      </c>
      <c r="O238" s="100">
        <f>SUMIF([1]CRJ!$H$880:$H$894,B238:B643,[1]CRJ!$K$880:$K$894)</f>
        <v>0</v>
      </c>
      <c r="P238" s="100">
        <f>SUMIF([1]ChkDJ!$H$849:$H$867,B238:B643,[1]ChkDJ!$J$849:$J$867)</f>
        <v>0</v>
      </c>
      <c r="Q238" s="100">
        <f>SUMIF([1]ChkDJ!$H$849:$H$867,B238:B643,[1]ChkDJ!$K$849:$K$867)</f>
        <v>0</v>
      </c>
      <c r="R238" s="100">
        <f>SUMIF([1]CDJ!$H$190:$H$197,B238:B643,[1]CDJ!$J$190:$J$197)</f>
        <v>0</v>
      </c>
      <c r="S238" s="100">
        <f>SUMIF([1]CDJ!$H$190:$H$197,B238:B643,[1]CDJ!$K$190:$K$197)</f>
        <v>0</v>
      </c>
      <c r="T238" s="102">
        <f>SUMIF([1]GL!$H$448:$H$480,B238:B648,[1]GL!$J$448:$J$487)</f>
        <v>0</v>
      </c>
      <c r="U238" s="100">
        <f>SUMIF([1]GL!$H$448:$H$480,B238:B648,[1]GL!$K$448:$K$487)</f>
        <v>0</v>
      </c>
      <c r="V238" s="102"/>
      <c r="W238" s="100"/>
      <c r="X238" s="101"/>
      <c r="Y238" s="353"/>
    </row>
    <row r="239" spans="1:25" s="350" customFormat="1" ht="15.75" hidden="1" customHeight="1">
      <c r="A239" s="426" t="s">
        <v>686</v>
      </c>
      <c r="B239" s="423">
        <v>656</v>
      </c>
      <c r="C239" s="424"/>
      <c r="D239" s="424"/>
      <c r="E239" s="94">
        <f t="shared" si="13"/>
        <v>0</v>
      </c>
      <c r="F239" s="650">
        <v>0</v>
      </c>
      <c r="G239" s="651"/>
      <c r="H239" s="593">
        <v>0</v>
      </c>
      <c r="I239" s="98">
        <f t="shared" si="14"/>
        <v>0</v>
      </c>
      <c r="J239" s="98">
        <f t="shared" si="14"/>
        <v>0</v>
      </c>
      <c r="K239" s="96">
        <f t="shared" si="15"/>
        <v>0</v>
      </c>
      <c r="L239" s="96"/>
      <c r="M239" s="96">
        <f t="shared" si="16"/>
        <v>0</v>
      </c>
      <c r="N239" s="107">
        <f>SUMIF([1]CRJ!$H$880:$H$894,B239:B644,[1]CRJ!$J$880:$J$894)</f>
        <v>0</v>
      </c>
      <c r="O239" s="100">
        <f>SUMIF([1]CRJ!$H$880:$H$894,B239:B644,[1]CRJ!$K$880:$K$894)</f>
        <v>0</v>
      </c>
      <c r="P239" s="100">
        <f>SUMIF([1]ChkDJ!$H$849:$H$867,B239:B644,[1]ChkDJ!$J$849:$J$867)</f>
        <v>0</v>
      </c>
      <c r="Q239" s="100">
        <f>SUMIF([1]ChkDJ!$H$849:$H$867,B239:B644,[1]ChkDJ!$K$849:$K$867)</f>
        <v>0</v>
      </c>
      <c r="R239" s="100">
        <f>SUMIF([1]CDJ!$H$190:$H$197,B239:B644,[1]CDJ!$J$190:$J$197)</f>
        <v>0</v>
      </c>
      <c r="S239" s="100">
        <f>SUMIF([1]CDJ!$H$190:$H$197,B239:B644,[1]CDJ!$K$190:$K$197)</f>
        <v>0</v>
      </c>
      <c r="T239" s="102">
        <f>SUMIF([1]GL!$H$448:$H$480,B239:B649,[1]GL!$J$448:$J$487)</f>
        <v>0</v>
      </c>
      <c r="U239" s="100">
        <f>SUMIF([1]GL!$H$448:$H$480,B239:B649,[1]GL!$K$448:$K$487)</f>
        <v>0</v>
      </c>
      <c r="V239" s="102"/>
      <c r="W239" s="100"/>
      <c r="X239" s="101"/>
      <c r="Y239" s="353"/>
    </row>
    <row r="240" spans="1:25" s="350" customFormat="1" ht="15.75" hidden="1" customHeight="1">
      <c r="A240" s="426" t="s">
        <v>687</v>
      </c>
      <c r="B240" s="423">
        <v>657</v>
      </c>
      <c r="C240" s="424"/>
      <c r="D240" s="424"/>
      <c r="E240" s="94">
        <f t="shared" si="13"/>
        <v>0</v>
      </c>
      <c r="F240" s="650">
        <v>0</v>
      </c>
      <c r="G240" s="651"/>
      <c r="H240" s="593">
        <v>0</v>
      </c>
      <c r="I240" s="98">
        <f t="shared" si="14"/>
        <v>0</v>
      </c>
      <c r="J240" s="98">
        <f t="shared" si="14"/>
        <v>0</v>
      </c>
      <c r="K240" s="96">
        <f t="shared" si="15"/>
        <v>0</v>
      </c>
      <c r="L240" s="96"/>
      <c r="M240" s="96">
        <f t="shared" si="16"/>
        <v>0</v>
      </c>
      <c r="N240" s="107">
        <f>SUMIF([1]CRJ!$H$880:$H$894,B240:B645,[1]CRJ!$J$880:$J$894)</f>
        <v>0</v>
      </c>
      <c r="O240" s="100">
        <f>SUMIF([1]CRJ!$H$880:$H$894,B240:B645,[1]CRJ!$K$880:$K$894)</f>
        <v>0</v>
      </c>
      <c r="P240" s="100">
        <f>SUMIF([1]ChkDJ!$H$849:$H$867,B240:B645,[1]ChkDJ!$J$849:$J$867)</f>
        <v>0</v>
      </c>
      <c r="Q240" s="100">
        <f>SUMIF([1]ChkDJ!$H$849:$H$867,B240:B645,[1]ChkDJ!$K$849:$K$867)</f>
        <v>0</v>
      </c>
      <c r="R240" s="100">
        <f>SUMIF([1]CDJ!$H$190:$H$197,B240:B645,[1]CDJ!$J$190:$J$197)</f>
        <v>0</v>
      </c>
      <c r="S240" s="100">
        <f>SUMIF([1]CDJ!$H$190:$H$197,B240:B645,[1]CDJ!$K$190:$K$197)</f>
        <v>0</v>
      </c>
      <c r="T240" s="102">
        <f>SUMIF([1]GL!$H$448:$H$480,B240:B650,[1]GL!$J$448:$J$487)</f>
        <v>0</v>
      </c>
      <c r="U240" s="100">
        <f>SUMIF([1]GL!$H$448:$H$480,B240:B650,[1]GL!$K$448:$K$487)</f>
        <v>0</v>
      </c>
      <c r="V240" s="102"/>
      <c r="W240" s="100"/>
      <c r="X240" s="101"/>
      <c r="Y240" s="353"/>
    </row>
    <row r="241" spans="1:25" s="350" customFormat="1" ht="15.75" hidden="1" customHeight="1">
      <c r="A241" s="426" t="s">
        <v>688</v>
      </c>
      <c r="B241" s="423">
        <v>661</v>
      </c>
      <c r="C241" s="424"/>
      <c r="D241" s="424"/>
      <c r="E241" s="94">
        <f t="shared" si="13"/>
        <v>0</v>
      </c>
      <c r="F241" s="650">
        <v>0</v>
      </c>
      <c r="G241" s="651"/>
      <c r="H241" s="593">
        <v>0</v>
      </c>
      <c r="I241" s="98">
        <f t="shared" si="14"/>
        <v>0</v>
      </c>
      <c r="J241" s="98">
        <f t="shared" si="14"/>
        <v>0</v>
      </c>
      <c r="K241" s="96">
        <f t="shared" si="15"/>
        <v>0</v>
      </c>
      <c r="L241" s="96"/>
      <c r="M241" s="96">
        <f t="shared" si="16"/>
        <v>0</v>
      </c>
      <c r="N241" s="107">
        <f>SUMIF([1]CRJ!$H$880:$H$894,B241:B646,[1]CRJ!$J$880:$J$894)</f>
        <v>0</v>
      </c>
      <c r="O241" s="100">
        <f>SUMIF([1]CRJ!$H$880:$H$894,B241:B646,[1]CRJ!$K$880:$K$894)</f>
        <v>0</v>
      </c>
      <c r="P241" s="100">
        <f>SUMIF([1]ChkDJ!$H$849:$H$867,B241:B646,[1]ChkDJ!$J$849:$J$867)</f>
        <v>0</v>
      </c>
      <c r="Q241" s="100">
        <f>SUMIF([1]ChkDJ!$H$849:$H$867,B241:B646,[1]ChkDJ!$K$849:$K$867)</f>
        <v>0</v>
      </c>
      <c r="R241" s="100">
        <f>SUMIF([1]CDJ!$H$190:$H$197,B241:B646,[1]CDJ!$J$190:$J$197)</f>
        <v>0</v>
      </c>
      <c r="S241" s="100">
        <f>SUMIF([1]CDJ!$H$190:$H$197,B241:B646,[1]CDJ!$K$190:$K$197)</f>
        <v>0</v>
      </c>
      <c r="T241" s="102">
        <f>SUMIF([1]GL!$H$448:$H$480,B241:B651,[1]GL!$J$448:$J$487)</f>
        <v>0</v>
      </c>
      <c r="U241" s="100">
        <f>SUMIF([1]GL!$H$448:$H$480,B241:B651,[1]GL!$K$448:$K$487)</f>
        <v>0</v>
      </c>
      <c r="V241" s="102"/>
      <c r="W241" s="100"/>
      <c r="X241" s="101"/>
      <c r="Y241" s="353"/>
    </row>
    <row r="242" spans="1:25" s="105" customFormat="1" ht="14.25" hidden="1" customHeight="1">
      <c r="A242" s="93" t="s">
        <v>439</v>
      </c>
      <c r="B242" s="513">
        <v>662</v>
      </c>
      <c r="C242" s="106"/>
      <c r="D242" s="106"/>
      <c r="E242" s="94">
        <f t="shared" si="13"/>
        <v>0</v>
      </c>
      <c r="F242" s="653">
        <v>0</v>
      </c>
      <c r="G242" s="98"/>
      <c r="H242" s="96">
        <v>0</v>
      </c>
      <c r="I242" s="98">
        <f t="shared" si="14"/>
        <v>0</v>
      </c>
      <c r="J242" s="98">
        <f t="shared" si="14"/>
        <v>0</v>
      </c>
      <c r="K242" s="96">
        <f t="shared" si="15"/>
        <v>0</v>
      </c>
      <c r="L242" s="96"/>
      <c r="M242" s="96">
        <f t="shared" si="16"/>
        <v>0</v>
      </c>
      <c r="N242" s="107">
        <f>SUMIF([1]CRJ!$H$880:$H$894,B242:B647,[1]CRJ!$J$880:$J$894)</f>
        <v>0</v>
      </c>
      <c r="O242" s="100">
        <f>SUMIF([1]CRJ!$H$880:$H$894,B242:B647,[1]CRJ!$K$880:$K$894)</f>
        <v>0</v>
      </c>
      <c r="P242" s="100">
        <f>SUMIF([1]ChkDJ!$H$849:$H$867,B242:B647,[1]ChkDJ!$J$849:$J$867)</f>
        <v>0</v>
      </c>
      <c r="Q242" s="100">
        <f>SUMIF([1]ChkDJ!$H$849:$H$867,B242:B647,[1]ChkDJ!$K$849:$K$867)</f>
        <v>0</v>
      </c>
      <c r="R242" s="100">
        <f>SUMIF([1]CDJ!$H$190:$H$197,B242:B647,[1]CDJ!$J$190:$J$197)</f>
        <v>0</v>
      </c>
      <c r="S242" s="100">
        <f>SUMIF([1]CDJ!$H$190:$H$197,B242:B647,[1]CDJ!$K$190:$K$197)</f>
        <v>0</v>
      </c>
      <c r="T242" s="102">
        <f>SUMIF([1]GL!$H$448:$H$480,B242:B652,[1]GL!$J$448:$J$487)</f>
        <v>0</v>
      </c>
      <c r="U242" s="100">
        <f>SUMIF([1]GL!$H$448:$H$480,B242:B652,[1]GL!$K$448:$K$487)</f>
        <v>0</v>
      </c>
      <c r="V242" s="102"/>
      <c r="W242" s="100"/>
      <c r="X242" s="101"/>
      <c r="Y242" s="353"/>
    </row>
    <row r="243" spans="1:25" s="350" customFormat="1" ht="15.75" hidden="1">
      <c r="A243" s="426" t="s">
        <v>689</v>
      </c>
      <c r="B243" s="423">
        <v>663</v>
      </c>
      <c r="C243" s="424"/>
      <c r="D243" s="424"/>
      <c r="E243" s="94">
        <f t="shared" si="13"/>
        <v>0</v>
      </c>
      <c r="F243" s="650">
        <v>0</v>
      </c>
      <c r="G243" s="651"/>
      <c r="H243" s="593">
        <v>0</v>
      </c>
      <c r="I243" s="98">
        <f t="shared" si="14"/>
        <v>0</v>
      </c>
      <c r="J243" s="98">
        <f t="shared" si="14"/>
        <v>0</v>
      </c>
      <c r="K243" s="96">
        <f t="shared" si="15"/>
        <v>0</v>
      </c>
      <c r="L243" s="96"/>
      <c r="M243" s="96">
        <f t="shared" si="16"/>
        <v>0</v>
      </c>
      <c r="N243" s="107">
        <f>SUMIF([1]CRJ!$H$880:$H$894,B243:B648,[1]CRJ!$J$880:$J$894)</f>
        <v>0</v>
      </c>
      <c r="O243" s="100">
        <f>SUMIF([1]CRJ!$H$880:$H$894,B243:B648,[1]CRJ!$K$880:$K$894)</f>
        <v>0</v>
      </c>
      <c r="P243" s="100">
        <f>SUMIF([1]ChkDJ!$H$849:$H$867,B243:B648,[1]ChkDJ!$J$849:$J$867)</f>
        <v>0</v>
      </c>
      <c r="Q243" s="100">
        <f>SUMIF([1]ChkDJ!$H$849:$H$867,B243:B648,[1]ChkDJ!$K$849:$K$867)</f>
        <v>0</v>
      </c>
      <c r="R243" s="100">
        <f>SUMIF([1]CDJ!$H$190:$H$197,B243:B648,[1]CDJ!$J$190:$J$197)</f>
        <v>0</v>
      </c>
      <c r="S243" s="100">
        <f>SUMIF([1]CDJ!$H$190:$H$197,B243:B648,[1]CDJ!$K$190:$K$197)</f>
        <v>0</v>
      </c>
      <c r="T243" s="102">
        <f>SUMIF([1]GL!$H$448:$H$480,B243:B653,[1]GL!$J$448:$J$487)</f>
        <v>0</v>
      </c>
      <c r="U243" s="100">
        <f>SUMIF([1]GL!$H$448:$H$480,B243:B653,[1]GL!$K$448:$K$487)</f>
        <v>0</v>
      </c>
      <c r="V243" s="102"/>
      <c r="W243" s="100"/>
      <c r="X243" s="101"/>
      <c r="Y243" s="353"/>
    </row>
    <row r="244" spans="1:25" s="105" customFormat="1" ht="16.149999999999999" customHeight="1">
      <c r="A244" s="93" t="s">
        <v>49</v>
      </c>
      <c r="B244" s="513">
        <v>664</v>
      </c>
      <c r="C244" s="103"/>
      <c r="D244" s="103"/>
      <c r="E244" s="94">
        <f t="shared" si="13"/>
        <v>1089432.8700000001</v>
      </c>
      <c r="F244" s="653">
        <v>0</v>
      </c>
      <c r="G244" s="98"/>
      <c r="H244" s="96">
        <v>983589.41000000015</v>
      </c>
      <c r="I244" s="98">
        <f t="shared" si="14"/>
        <v>0</v>
      </c>
      <c r="J244" s="98">
        <f t="shared" si="14"/>
        <v>105843.46</v>
      </c>
      <c r="K244" s="96">
        <f t="shared" si="15"/>
        <v>0</v>
      </c>
      <c r="L244" s="96"/>
      <c r="M244" s="96">
        <f t="shared" si="16"/>
        <v>1089432.8700000001</v>
      </c>
      <c r="N244" s="107">
        <f>SUMIF([1]CRJ!$H$880:$H$894,B244:B649,[1]CRJ!$J$880:$J$894)</f>
        <v>0</v>
      </c>
      <c r="O244" s="100">
        <f>SUMIF([1]CRJ!$H$880:$H$894,B244:B649,[1]CRJ!$K$880:$K$894)</f>
        <v>0</v>
      </c>
      <c r="P244" s="100">
        <f>SUMIF([1]ChkDJ!$H$849:$H$867,B244:B649,[1]ChkDJ!$J$849:$J$867)</f>
        <v>0</v>
      </c>
      <c r="Q244" s="100">
        <f>SUMIF([1]ChkDJ!$H$849:$H$867,B244:B649,[1]ChkDJ!$K$849:$K$867)</f>
        <v>0</v>
      </c>
      <c r="R244" s="100">
        <f>SUMIF([1]CDJ!$H$190:$H$197,B244:B649,[1]CDJ!$J$190:$J$197)</f>
        <v>0</v>
      </c>
      <c r="S244" s="100">
        <f>SUMIF([1]CDJ!$H$190:$H$197,B244:B649,[1]CDJ!$K$190:$K$197)</f>
        <v>0</v>
      </c>
      <c r="T244" s="102">
        <f>SUMIF([1]GL!$H$448:$H$480,B244:B654,[1]GL!$J$448:$J$487)</f>
        <v>0</v>
      </c>
      <c r="U244" s="100">
        <f>SUMIF([1]GL!$H$448:$H$480,B244:B654,[1]GL!$K$448:$K$487)</f>
        <v>105843.46</v>
      </c>
      <c r="V244" s="102"/>
      <c r="W244" s="100"/>
      <c r="X244" s="101"/>
      <c r="Y244" s="353"/>
    </row>
    <row r="245" spans="1:25" s="350" customFormat="1" ht="15.75" hidden="1">
      <c r="A245" s="426" t="s">
        <v>690</v>
      </c>
      <c r="B245" s="423">
        <v>665</v>
      </c>
      <c r="C245" s="424"/>
      <c r="D245" s="424"/>
      <c r="E245" s="94">
        <f t="shared" si="13"/>
        <v>0</v>
      </c>
      <c r="F245" s="650">
        <v>0</v>
      </c>
      <c r="G245" s="651"/>
      <c r="H245" s="593">
        <v>0</v>
      </c>
      <c r="I245" s="98">
        <f t="shared" si="14"/>
        <v>0</v>
      </c>
      <c r="J245" s="98">
        <f t="shared" si="14"/>
        <v>0</v>
      </c>
      <c r="K245" s="96">
        <f t="shared" si="15"/>
        <v>0</v>
      </c>
      <c r="L245" s="96"/>
      <c r="M245" s="96">
        <f t="shared" si="16"/>
        <v>0</v>
      </c>
      <c r="N245" s="107">
        <f>SUMIF([1]CRJ!$H$880:$H$894,B245:B650,[1]CRJ!$J$880:$J$894)</f>
        <v>0</v>
      </c>
      <c r="O245" s="100">
        <f>SUMIF([1]CRJ!$H$880:$H$894,B245:B650,[1]CRJ!$K$880:$K$894)</f>
        <v>0</v>
      </c>
      <c r="P245" s="100">
        <f>SUMIF([1]ChkDJ!$H$849:$H$867,B245:B650,[1]ChkDJ!$J$849:$J$867)</f>
        <v>0</v>
      </c>
      <c r="Q245" s="100">
        <f>SUMIF([1]ChkDJ!$H$849:$H$867,B245:B650,[1]ChkDJ!$K$849:$K$867)</f>
        <v>0</v>
      </c>
      <c r="R245" s="100">
        <f>SUMIF([1]CDJ!$H$190:$H$197,B245:B650,[1]CDJ!$J$190:$J$197)</f>
        <v>0</v>
      </c>
      <c r="S245" s="100">
        <f>SUMIF([1]CDJ!$H$190:$H$197,B245:B650,[1]CDJ!$K$190:$K$197)</f>
        <v>0</v>
      </c>
      <c r="T245" s="102">
        <f>SUMIF([1]GL!$H$448:$H$480,B245:B655,[1]GL!$J$448:$J$487)</f>
        <v>0</v>
      </c>
      <c r="U245" s="100">
        <f>SUMIF([1]GL!$H$448:$H$480,B245:B655,[1]GL!$K$448:$K$487)</f>
        <v>0</v>
      </c>
      <c r="V245" s="102"/>
      <c r="W245" s="100"/>
      <c r="X245" s="101"/>
      <c r="Y245" s="353"/>
    </row>
    <row r="246" spans="1:25" s="350" customFormat="1" ht="15.75" hidden="1">
      <c r="A246" s="426" t="s">
        <v>691</v>
      </c>
      <c r="B246" s="423">
        <v>666</v>
      </c>
      <c r="C246" s="424"/>
      <c r="D246" s="424"/>
      <c r="E246" s="94">
        <f t="shared" si="13"/>
        <v>0</v>
      </c>
      <c r="F246" s="650">
        <v>0</v>
      </c>
      <c r="G246" s="651"/>
      <c r="H246" s="593">
        <v>0</v>
      </c>
      <c r="I246" s="98">
        <f t="shared" si="14"/>
        <v>0</v>
      </c>
      <c r="J246" s="98">
        <f t="shared" si="14"/>
        <v>0</v>
      </c>
      <c r="K246" s="96">
        <f t="shared" si="15"/>
        <v>0</v>
      </c>
      <c r="L246" s="96"/>
      <c r="M246" s="96">
        <f t="shared" si="16"/>
        <v>0</v>
      </c>
      <c r="N246" s="107">
        <f>SUMIF([1]CRJ!$H$880:$H$894,B246:B651,[1]CRJ!$J$880:$J$894)</f>
        <v>0</v>
      </c>
      <c r="O246" s="100">
        <f>SUMIF([1]CRJ!$H$880:$H$894,B246:B651,[1]CRJ!$K$880:$K$894)</f>
        <v>0</v>
      </c>
      <c r="P246" s="100">
        <f>SUMIF([1]ChkDJ!$H$849:$H$867,B246:B651,[1]ChkDJ!$J$849:$J$867)</f>
        <v>0</v>
      </c>
      <c r="Q246" s="100">
        <f>SUMIF([1]ChkDJ!$H$849:$H$867,B246:B651,[1]ChkDJ!$K$849:$K$867)</f>
        <v>0</v>
      </c>
      <c r="R246" s="100">
        <f>SUMIF([1]CDJ!$H$190:$H$197,B246:B651,[1]CDJ!$J$190:$J$197)</f>
        <v>0</v>
      </c>
      <c r="S246" s="100">
        <f>SUMIF([1]CDJ!$H$190:$H$197,B246:B651,[1]CDJ!$K$190:$K$197)</f>
        <v>0</v>
      </c>
      <c r="T246" s="102">
        <f>SUMIF([1]GL!$H$448:$H$480,B246:B656,[1]GL!$J$448:$J$487)</f>
        <v>0</v>
      </c>
      <c r="U246" s="100">
        <f>SUMIF([1]GL!$H$448:$H$480,B246:B656,[1]GL!$K$448:$K$487)</f>
        <v>0</v>
      </c>
      <c r="V246" s="102"/>
      <c r="W246" s="100"/>
      <c r="X246" s="101"/>
      <c r="Y246" s="353"/>
    </row>
    <row r="247" spans="1:25" s="350" customFormat="1" ht="15.75" hidden="1">
      <c r="A247" s="426" t="s">
        <v>692</v>
      </c>
      <c r="B247" s="423">
        <v>667</v>
      </c>
      <c r="C247" s="424"/>
      <c r="D247" s="424"/>
      <c r="E247" s="94">
        <f t="shared" si="13"/>
        <v>0</v>
      </c>
      <c r="F247" s="650">
        <v>0</v>
      </c>
      <c r="G247" s="651"/>
      <c r="H247" s="593">
        <v>0</v>
      </c>
      <c r="I247" s="98">
        <f t="shared" si="14"/>
        <v>0</v>
      </c>
      <c r="J247" s="98">
        <f t="shared" si="14"/>
        <v>0</v>
      </c>
      <c r="K247" s="96">
        <f t="shared" si="15"/>
        <v>0</v>
      </c>
      <c r="L247" s="96"/>
      <c r="M247" s="96">
        <f t="shared" si="16"/>
        <v>0</v>
      </c>
      <c r="N247" s="107">
        <f>SUMIF([1]CRJ!$H$880:$H$894,B247:B652,[1]CRJ!$J$880:$J$894)</f>
        <v>0</v>
      </c>
      <c r="O247" s="100">
        <f>SUMIF([1]CRJ!$H$880:$H$894,B247:B652,[1]CRJ!$K$880:$K$894)</f>
        <v>0</v>
      </c>
      <c r="P247" s="100">
        <f>SUMIF([1]ChkDJ!$H$849:$H$867,B247:B652,[1]ChkDJ!$J$849:$J$867)</f>
        <v>0</v>
      </c>
      <c r="Q247" s="100">
        <f>SUMIF([1]ChkDJ!$H$849:$H$867,B247:B652,[1]ChkDJ!$K$849:$K$867)</f>
        <v>0</v>
      </c>
      <c r="R247" s="100">
        <f>SUMIF([1]CDJ!$H$190:$H$197,B247:B652,[1]CDJ!$J$190:$J$197)</f>
        <v>0</v>
      </c>
      <c r="S247" s="100">
        <f>SUMIF([1]CDJ!$H$190:$H$197,B247:B652,[1]CDJ!$K$190:$K$197)</f>
        <v>0</v>
      </c>
      <c r="T247" s="102">
        <f>SUMIF([1]GL!$H$448:$H$480,B247:B657,[1]GL!$J$448:$J$487)</f>
        <v>0</v>
      </c>
      <c r="U247" s="100">
        <f>SUMIF([1]GL!$H$448:$H$480,B247:B657,[1]GL!$K$448:$K$487)</f>
        <v>0</v>
      </c>
      <c r="V247" s="102"/>
      <c r="W247" s="100"/>
      <c r="X247" s="101"/>
      <c r="Y247" s="353"/>
    </row>
    <row r="248" spans="1:25" s="350" customFormat="1" ht="15.75" hidden="1">
      <c r="A248" s="426" t="s">
        <v>693</v>
      </c>
      <c r="B248" s="423">
        <v>668</v>
      </c>
      <c r="C248" s="424"/>
      <c r="D248" s="424"/>
      <c r="E248" s="94">
        <f t="shared" si="13"/>
        <v>0</v>
      </c>
      <c r="F248" s="650">
        <v>0</v>
      </c>
      <c r="G248" s="651"/>
      <c r="H248" s="593">
        <v>0</v>
      </c>
      <c r="I248" s="98">
        <f t="shared" si="14"/>
        <v>0</v>
      </c>
      <c r="J248" s="98">
        <f t="shared" si="14"/>
        <v>0</v>
      </c>
      <c r="K248" s="96">
        <f t="shared" si="15"/>
        <v>0</v>
      </c>
      <c r="L248" s="96"/>
      <c r="M248" s="96">
        <f t="shared" si="16"/>
        <v>0</v>
      </c>
      <c r="N248" s="107">
        <f>SUMIF([1]CRJ!$H$880:$H$894,B248:B653,[1]CRJ!$J$880:$J$894)</f>
        <v>0</v>
      </c>
      <c r="O248" s="100">
        <f>SUMIF([1]CRJ!$H$880:$H$894,B248:B653,[1]CRJ!$K$880:$K$894)</f>
        <v>0</v>
      </c>
      <c r="P248" s="100">
        <f>SUMIF([1]ChkDJ!$H$849:$H$867,B248:B653,[1]ChkDJ!$J$849:$J$867)</f>
        <v>0</v>
      </c>
      <c r="Q248" s="100">
        <f>SUMIF([1]ChkDJ!$H$849:$H$867,B248:B653,[1]ChkDJ!$K$849:$K$867)</f>
        <v>0</v>
      </c>
      <c r="R248" s="100">
        <f>SUMIF([1]CDJ!$H$190:$H$197,B248:B653,[1]CDJ!$J$190:$J$197)</f>
        <v>0</v>
      </c>
      <c r="S248" s="100">
        <f>SUMIF([1]CDJ!$H$190:$H$197,B248:B653,[1]CDJ!$K$190:$K$197)</f>
        <v>0</v>
      </c>
      <c r="T248" s="102">
        <f>SUMIF([1]GL!$H$448:$H$480,B248:B658,[1]GL!$J$448:$J$487)</f>
        <v>0</v>
      </c>
      <c r="U248" s="100">
        <f>SUMIF([1]GL!$H$448:$H$480,B248:B658,[1]GL!$K$448:$K$487)</f>
        <v>0</v>
      </c>
      <c r="V248" s="102"/>
      <c r="W248" s="100"/>
      <c r="X248" s="101"/>
      <c r="Y248" s="353"/>
    </row>
    <row r="249" spans="1:25" s="350" customFormat="1" ht="15.75" hidden="1">
      <c r="A249" s="426" t="s">
        <v>694</v>
      </c>
      <c r="B249" s="423">
        <v>669</v>
      </c>
      <c r="C249" s="424"/>
      <c r="D249" s="424"/>
      <c r="E249" s="94">
        <f t="shared" si="13"/>
        <v>0</v>
      </c>
      <c r="F249" s="650">
        <v>0</v>
      </c>
      <c r="G249" s="651"/>
      <c r="H249" s="593">
        <v>0</v>
      </c>
      <c r="I249" s="98">
        <f t="shared" si="14"/>
        <v>0</v>
      </c>
      <c r="J249" s="98">
        <f t="shared" si="14"/>
        <v>0</v>
      </c>
      <c r="K249" s="96">
        <f t="shared" si="15"/>
        <v>0</v>
      </c>
      <c r="L249" s="96"/>
      <c r="M249" s="96">
        <f t="shared" si="16"/>
        <v>0</v>
      </c>
      <c r="N249" s="107">
        <f>SUMIF([1]CRJ!$H$880:$H$894,B249:B654,[1]CRJ!$J$880:$J$894)</f>
        <v>0</v>
      </c>
      <c r="O249" s="100">
        <f>SUMIF([1]CRJ!$H$880:$H$894,B249:B654,[1]CRJ!$K$880:$K$894)</f>
        <v>0</v>
      </c>
      <c r="P249" s="100">
        <f>SUMIF([1]ChkDJ!$H$849:$H$867,B249:B654,[1]ChkDJ!$J$849:$J$867)</f>
        <v>0</v>
      </c>
      <c r="Q249" s="100">
        <f>SUMIF([1]ChkDJ!$H$849:$H$867,B249:B654,[1]ChkDJ!$K$849:$K$867)</f>
        <v>0</v>
      </c>
      <c r="R249" s="100">
        <f>SUMIF([1]CDJ!$H$190:$H$197,B249:B654,[1]CDJ!$J$190:$J$197)</f>
        <v>0</v>
      </c>
      <c r="S249" s="100">
        <f>SUMIF([1]CDJ!$H$190:$H$197,B249:B654,[1]CDJ!$K$190:$K$197)</f>
        <v>0</v>
      </c>
      <c r="T249" s="102">
        <f>SUMIF([1]GL!$H$448:$H$480,B249:B659,[1]GL!$J$448:$J$487)</f>
        <v>0</v>
      </c>
      <c r="U249" s="100">
        <f>SUMIF([1]GL!$H$448:$H$480,B249:B659,[1]GL!$K$448:$K$487)</f>
        <v>0</v>
      </c>
      <c r="V249" s="102"/>
      <c r="W249" s="100"/>
      <c r="X249" s="101"/>
      <c r="Y249" s="353"/>
    </row>
    <row r="250" spans="1:25" s="350" customFormat="1" ht="15.75" hidden="1">
      <c r="A250" s="426" t="s">
        <v>695</v>
      </c>
      <c r="B250" s="423">
        <v>670</v>
      </c>
      <c r="C250" s="424"/>
      <c r="D250" s="424"/>
      <c r="E250" s="94">
        <f t="shared" si="13"/>
        <v>0</v>
      </c>
      <c r="F250" s="650">
        <v>0</v>
      </c>
      <c r="G250" s="651"/>
      <c r="H250" s="593">
        <v>0</v>
      </c>
      <c r="I250" s="98">
        <f t="shared" si="14"/>
        <v>0</v>
      </c>
      <c r="J250" s="98">
        <f t="shared" si="14"/>
        <v>0</v>
      </c>
      <c r="K250" s="96">
        <f t="shared" si="15"/>
        <v>0</v>
      </c>
      <c r="L250" s="96"/>
      <c r="M250" s="96">
        <f t="shared" si="16"/>
        <v>0</v>
      </c>
      <c r="N250" s="107">
        <f>SUMIF([1]CRJ!$H$880:$H$894,B250:B655,[1]CRJ!$J$880:$J$894)</f>
        <v>0</v>
      </c>
      <c r="O250" s="100">
        <f>SUMIF([1]CRJ!$H$880:$H$894,B250:B655,[1]CRJ!$K$880:$K$894)</f>
        <v>0</v>
      </c>
      <c r="P250" s="100">
        <f>SUMIF([1]ChkDJ!$H$849:$H$867,B250:B655,[1]ChkDJ!$J$849:$J$867)</f>
        <v>0</v>
      </c>
      <c r="Q250" s="100">
        <f>SUMIF([1]ChkDJ!$H$849:$H$867,B250:B655,[1]ChkDJ!$K$849:$K$867)</f>
        <v>0</v>
      </c>
      <c r="R250" s="100">
        <f>SUMIF([1]CDJ!$H$190:$H$197,B250:B655,[1]CDJ!$J$190:$J$197)</f>
        <v>0</v>
      </c>
      <c r="S250" s="100">
        <f>SUMIF([1]CDJ!$H$190:$H$197,B250:B655,[1]CDJ!$K$190:$K$197)</f>
        <v>0</v>
      </c>
      <c r="T250" s="102">
        <f>SUMIF([1]GL!$H$448:$H$480,B250:B660,[1]GL!$J$448:$J$487)</f>
        <v>0</v>
      </c>
      <c r="U250" s="100">
        <f>SUMIF([1]GL!$H$448:$H$480,B250:B660,[1]GL!$K$448:$K$487)</f>
        <v>0</v>
      </c>
      <c r="V250" s="102"/>
      <c r="W250" s="100"/>
      <c r="X250" s="101"/>
      <c r="Y250" s="353"/>
    </row>
    <row r="251" spans="1:25" s="350" customFormat="1" ht="15.75" hidden="1">
      <c r="A251" s="426" t="s">
        <v>696</v>
      </c>
      <c r="B251" s="423">
        <v>671</v>
      </c>
      <c r="C251" s="424"/>
      <c r="D251" s="424"/>
      <c r="E251" s="94">
        <f t="shared" si="13"/>
        <v>0</v>
      </c>
      <c r="F251" s="650">
        <v>0</v>
      </c>
      <c r="G251" s="651"/>
      <c r="H251" s="593">
        <v>0</v>
      </c>
      <c r="I251" s="98">
        <f t="shared" si="14"/>
        <v>0</v>
      </c>
      <c r="J251" s="98">
        <f t="shared" si="14"/>
        <v>0</v>
      </c>
      <c r="K251" s="96">
        <f t="shared" si="15"/>
        <v>0</v>
      </c>
      <c r="L251" s="96"/>
      <c r="M251" s="96">
        <f t="shared" si="16"/>
        <v>0</v>
      </c>
      <c r="N251" s="107">
        <f>SUMIF([1]CRJ!$H$880:$H$894,B251:B656,[1]CRJ!$J$880:$J$894)</f>
        <v>0</v>
      </c>
      <c r="O251" s="100">
        <f>SUMIF([1]CRJ!$H$880:$H$894,B251:B656,[1]CRJ!$K$880:$K$894)</f>
        <v>0</v>
      </c>
      <c r="P251" s="100">
        <f>SUMIF([1]ChkDJ!$H$849:$H$867,B251:B656,[1]ChkDJ!$J$849:$J$867)</f>
        <v>0</v>
      </c>
      <c r="Q251" s="100">
        <f>SUMIF([1]ChkDJ!$H$849:$H$867,B251:B656,[1]ChkDJ!$K$849:$K$867)</f>
        <v>0</v>
      </c>
      <c r="R251" s="100">
        <f>SUMIF([1]CDJ!$H$190:$H$197,B251:B656,[1]CDJ!$J$190:$J$197)</f>
        <v>0</v>
      </c>
      <c r="S251" s="100">
        <f>SUMIF([1]CDJ!$H$190:$H$197,B251:B656,[1]CDJ!$K$190:$K$197)</f>
        <v>0</v>
      </c>
      <c r="T251" s="102">
        <f>SUMIF([1]GL!$H$448:$H$480,B251:B661,[1]GL!$J$448:$J$487)</f>
        <v>0</v>
      </c>
      <c r="U251" s="100">
        <f>SUMIF([1]GL!$H$448:$H$480,B251:B661,[1]GL!$K$448:$K$487)</f>
        <v>0</v>
      </c>
      <c r="V251" s="102"/>
      <c r="W251" s="100"/>
      <c r="X251" s="101"/>
      <c r="Y251" s="353"/>
    </row>
    <row r="252" spans="1:25" s="105" customFormat="1" ht="16.149999999999999" customHeight="1">
      <c r="A252" s="93" t="s">
        <v>279</v>
      </c>
      <c r="B252" s="513">
        <v>678</v>
      </c>
      <c r="C252" s="103"/>
      <c r="D252" s="103"/>
      <c r="E252" s="94">
        <f t="shared" si="13"/>
        <v>313.64</v>
      </c>
      <c r="F252" s="653">
        <v>0</v>
      </c>
      <c r="G252" s="98"/>
      <c r="H252" s="96">
        <v>311.56</v>
      </c>
      <c r="I252" s="98">
        <f t="shared" si="14"/>
        <v>0</v>
      </c>
      <c r="J252" s="98">
        <f t="shared" si="14"/>
        <v>2.0799999999999996</v>
      </c>
      <c r="K252" s="96">
        <f t="shared" si="15"/>
        <v>0</v>
      </c>
      <c r="L252" s="96"/>
      <c r="M252" s="96">
        <f t="shared" si="16"/>
        <v>313.64</v>
      </c>
      <c r="N252" s="107">
        <f>SUMIF([1]CRJ!$H$880:$H$894,B252:B657,[1]CRJ!$J$880:$J$894)</f>
        <v>0</v>
      </c>
      <c r="O252" s="100">
        <f>SUMIF([1]CRJ!$H$880:$H$894,B252:B657,[1]CRJ!$K$880:$K$894)</f>
        <v>2.0799999999999996</v>
      </c>
      <c r="P252" s="100">
        <f>SUMIF([1]ChkDJ!$H$849:$H$867,B252:B657,[1]ChkDJ!$J$849:$J$867)</f>
        <v>0</v>
      </c>
      <c r="Q252" s="100">
        <f>SUMIF([1]ChkDJ!$H$849:$H$867,B252:B657,[1]ChkDJ!$K$849:$K$867)</f>
        <v>0</v>
      </c>
      <c r="R252" s="100">
        <f>SUMIF([1]CDJ!$H$190:$H$197,B252:B657,[1]CDJ!$J$190:$J$197)</f>
        <v>0</v>
      </c>
      <c r="S252" s="100">
        <f>SUMIF([1]CDJ!$H$190:$H$197,B252:B657,[1]CDJ!$K$190:$K$197)</f>
        <v>0</v>
      </c>
      <c r="T252" s="102">
        <f>SUMIF([1]GL!$H$448:$H$480,B252:B662,[1]GL!$J$448:$J$487)</f>
        <v>0</v>
      </c>
      <c r="U252" s="100">
        <f>SUMIF([1]GL!$H$448:$H$480,B252:B662,[1]GL!$K$448:$K$487)</f>
        <v>0</v>
      </c>
      <c r="V252" s="102"/>
      <c r="W252" s="100"/>
      <c r="X252" s="101"/>
      <c r="Y252" s="353"/>
    </row>
    <row r="253" spans="1:25" s="350" customFormat="1" ht="15.75" hidden="1">
      <c r="A253" s="426" t="s">
        <v>697</v>
      </c>
      <c r="B253" s="423">
        <v>679</v>
      </c>
      <c r="C253" s="424"/>
      <c r="D253" s="424"/>
      <c r="E253" s="94">
        <f t="shared" si="13"/>
        <v>0</v>
      </c>
      <c r="F253" s="650">
        <v>0</v>
      </c>
      <c r="G253" s="651"/>
      <c r="H253" s="593">
        <v>0</v>
      </c>
      <c r="I253" s="98">
        <f t="shared" si="14"/>
        <v>0</v>
      </c>
      <c r="J253" s="98">
        <f t="shared" si="14"/>
        <v>0</v>
      </c>
      <c r="K253" s="96">
        <f t="shared" si="15"/>
        <v>0</v>
      </c>
      <c r="L253" s="96"/>
      <c r="M253" s="96">
        <f t="shared" si="16"/>
        <v>0</v>
      </c>
      <c r="N253" s="107">
        <f>SUMIF([1]CRJ!$H$880:$H$894,B253:B658,[1]CRJ!$J$880:$J$894)</f>
        <v>0</v>
      </c>
      <c r="O253" s="100">
        <f>SUMIF([1]CRJ!$H$880:$H$894,B253:B658,[1]CRJ!$K$880:$K$894)</f>
        <v>0</v>
      </c>
      <c r="P253" s="100">
        <f>SUMIF([1]ChkDJ!$H$849:$H$867,B253:B658,[1]ChkDJ!$J$849:$J$867)</f>
        <v>0</v>
      </c>
      <c r="Q253" s="100">
        <f>SUMIF([1]ChkDJ!$H$849:$H$867,B253:B658,[1]ChkDJ!$K$849:$K$867)</f>
        <v>0</v>
      </c>
      <c r="R253" s="100">
        <f>SUMIF([1]CDJ!$H$190:$H$197,B253:B658,[1]CDJ!$J$190:$J$197)</f>
        <v>0</v>
      </c>
      <c r="S253" s="100">
        <f>SUMIF([1]CDJ!$H$190:$H$197,B253:B658,[1]CDJ!$K$190:$K$197)</f>
        <v>0</v>
      </c>
      <c r="T253" s="102">
        <f>SUMIF([1]GL!$H$448:$H$480,B253:B663,[1]GL!$J$448:$J$487)</f>
        <v>0</v>
      </c>
      <c r="U253" s="100">
        <f>SUMIF([1]GL!$H$448:$H$480,B253:B663,[1]GL!$K$448:$K$487)</f>
        <v>0</v>
      </c>
      <c r="V253" s="102"/>
      <c r="W253" s="100"/>
      <c r="X253" s="101"/>
      <c r="Y253" s="353"/>
    </row>
    <row r="254" spans="1:25" s="350" customFormat="1" ht="15.75" hidden="1">
      <c r="A254" s="426" t="s">
        <v>698</v>
      </c>
      <c r="B254" s="423">
        <v>682</v>
      </c>
      <c r="C254" s="424"/>
      <c r="D254" s="424"/>
      <c r="E254" s="94">
        <f t="shared" si="13"/>
        <v>0</v>
      </c>
      <c r="F254" s="650">
        <v>0</v>
      </c>
      <c r="G254" s="651"/>
      <c r="H254" s="593">
        <v>0</v>
      </c>
      <c r="I254" s="98">
        <f t="shared" si="14"/>
        <v>0</v>
      </c>
      <c r="J254" s="98">
        <f t="shared" si="14"/>
        <v>0</v>
      </c>
      <c r="K254" s="96">
        <f t="shared" si="15"/>
        <v>0</v>
      </c>
      <c r="L254" s="96"/>
      <c r="M254" s="96">
        <f t="shared" si="16"/>
        <v>0</v>
      </c>
      <c r="N254" s="107">
        <f>SUMIF([1]CRJ!$H$880:$H$894,B254:B659,[1]CRJ!$J$880:$J$894)</f>
        <v>0</v>
      </c>
      <c r="O254" s="100">
        <f>SUMIF([1]CRJ!$H$880:$H$894,B254:B659,[1]CRJ!$K$880:$K$894)</f>
        <v>0</v>
      </c>
      <c r="P254" s="100">
        <f>SUMIF([1]ChkDJ!$H$849:$H$867,B254:B659,[1]ChkDJ!$J$849:$J$867)</f>
        <v>0</v>
      </c>
      <c r="Q254" s="100">
        <f>SUMIF([1]ChkDJ!$H$849:$H$867,B254:B659,[1]ChkDJ!$K$849:$K$867)</f>
        <v>0</v>
      </c>
      <c r="R254" s="100">
        <f>SUMIF([1]CDJ!$H$190:$H$197,B254:B659,[1]CDJ!$J$190:$J$197)</f>
        <v>0</v>
      </c>
      <c r="S254" s="100">
        <f>SUMIF([1]CDJ!$H$190:$H$197,B254:B659,[1]CDJ!$K$190:$K$197)</f>
        <v>0</v>
      </c>
      <c r="T254" s="102">
        <f>SUMIF([1]GL!$H$448:$H$480,B254:B664,[1]GL!$J$448:$J$487)</f>
        <v>0</v>
      </c>
      <c r="U254" s="100">
        <f>SUMIF([1]GL!$H$448:$H$480,B254:B664,[1]GL!$K$448:$K$487)</f>
        <v>0</v>
      </c>
      <c r="V254" s="102"/>
      <c r="W254" s="100"/>
      <c r="X254" s="101"/>
      <c r="Y254" s="353"/>
    </row>
    <row r="255" spans="1:25" s="350" customFormat="1" ht="15.75" hidden="1">
      <c r="A255" s="426" t="s">
        <v>699</v>
      </c>
      <c r="B255" s="423">
        <v>683</v>
      </c>
      <c r="C255" s="424"/>
      <c r="D255" s="424"/>
      <c r="E255" s="94">
        <f t="shared" si="13"/>
        <v>0</v>
      </c>
      <c r="F255" s="650">
        <v>0</v>
      </c>
      <c r="G255" s="651"/>
      <c r="H255" s="593">
        <v>0</v>
      </c>
      <c r="I255" s="98">
        <f t="shared" si="14"/>
        <v>0</v>
      </c>
      <c r="J255" s="98">
        <f t="shared" si="14"/>
        <v>0</v>
      </c>
      <c r="K255" s="96">
        <f t="shared" si="15"/>
        <v>0</v>
      </c>
      <c r="L255" s="96"/>
      <c r="M255" s="96">
        <f t="shared" si="16"/>
        <v>0</v>
      </c>
      <c r="N255" s="107">
        <f>SUMIF([1]CRJ!$H$880:$H$894,B255:B660,[1]CRJ!$J$880:$J$894)</f>
        <v>0</v>
      </c>
      <c r="O255" s="100">
        <f>SUMIF([1]CRJ!$H$880:$H$894,B255:B660,[1]CRJ!$K$880:$K$894)</f>
        <v>0</v>
      </c>
      <c r="P255" s="100">
        <f>SUMIF([1]ChkDJ!$H$849:$H$867,B255:B660,[1]ChkDJ!$J$849:$J$867)</f>
        <v>0</v>
      </c>
      <c r="Q255" s="100">
        <f>SUMIF([1]ChkDJ!$H$849:$H$867,B255:B660,[1]ChkDJ!$K$849:$K$867)</f>
        <v>0</v>
      </c>
      <c r="R255" s="100">
        <f>SUMIF([1]CDJ!$H$190:$H$197,B255:B660,[1]CDJ!$J$190:$J$197)</f>
        <v>0</v>
      </c>
      <c r="S255" s="100">
        <f>SUMIF([1]CDJ!$H$190:$H$197,B255:B660,[1]CDJ!$K$190:$K$197)</f>
        <v>0</v>
      </c>
      <c r="T255" s="102">
        <f>SUMIF([1]GL!$H$448:$H$480,B255:B665,[1]GL!$J$448:$J$487)</f>
        <v>0</v>
      </c>
      <c r="U255" s="100">
        <f>SUMIF([1]GL!$H$448:$H$480,B255:B665,[1]GL!$K$448:$K$487)</f>
        <v>0</v>
      </c>
      <c r="V255" s="102"/>
      <c r="W255" s="100"/>
      <c r="X255" s="101"/>
      <c r="Y255" s="353"/>
    </row>
    <row r="256" spans="1:25" s="105" customFormat="1" ht="15.75">
      <c r="A256" s="93" t="s">
        <v>50</v>
      </c>
      <c r="B256" s="513">
        <v>684</v>
      </c>
      <c r="C256" s="94"/>
      <c r="D256" s="94"/>
      <c r="E256" s="94">
        <f t="shared" si="13"/>
        <v>9865799.1899999995</v>
      </c>
      <c r="F256" s="653">
        <v>1330995.02</v>
      </c>
      <c r="G256" s="98"/>
      <c r="H256" s="96">
        <v>10846657.629999999</v>
      </c>
      <c r="I256" s="98">
        <f t="shared" si="14"/>
        <v>2109.65</v>
      </c>
      <c r="J256" s="98">
        <f t="shared" si="14"/>
        <v>352246.22999999992</v>
      </c>
      <c r="K256" s="96">
        <f t="shared" si="15"/>
        <v>1333104.67</v>
      </c>
      <c r="L256" s="96"/>
      <c r="M256" s="96">
        <f t="shared" si="16"/>
        <v>11198903.859999999</v>
      </c>
      <c r="N256" s="107">
        <f>SUMIF([1]CRJ!$H$880:$H$894,B256:B661,[1]CRJ!$J$880:$J$894)</f>
        <v>0</v>
      </c>
      <c r="O256" s="100">
        <f>SUMIF([1]CRJ!$H$880:$H$894,B256:B661,[1]CRJ!$K$880:$K$894)</f>
        <v>352246.22999999992</v>
      </c>
      <c r="P256" s="100">
        <f>SUMIF([1]ChkDJ!$H$849:$H$867,B256:B661,[1]ChkDJ!$J$849:$J$867)</f>
        <v>0</v>
      </c>
      <c r="Q256" s="100">
        <f>SUMIF([1]ChkDJ!$H$849:$H$867,B256:B661,[1]ChkDJ!$K$849:$K$867)</f>
        <v>0</v>
      </c>
      <c r="R256" s="100">
        <f>SUMIF([1]CDJ!$H$190:$H$197,B256:B661,[1]CDJ!$J$190:$J$197)</f>
        <v>0</v>
      </c>
      <c r="S256" s="100">
        <f>SUMIF([1]CDJ!$H$190:$H$197,B256:B661,[1]CDJ!$K$190:$K$197)</f>
        <v>0</v>
      </c>
      <c r="T256" s="102">
        <f>SUMIF([1]GL!$H$448:$H$480,B256:B666,[1]GL!$J$448:$J$487)</f>
        <v>2109.65</v>
      </c>
      <c r="U256" s="100">
        <f>SUMIF([1]GL!$H$448:$H$480,B256:B666,[1]GL!$K$448:$K$487)</f>
        <v>0</v>
      </c>
      <c r="V256" s="102"/>
      <c r="W256" s="100"/>
      <c r="X256" s="101"/>
      <c r="Y256" s="353"/>
    </row>
    <row r="257" spans="1:25" s="105" customFormat="1" ht="15.75">
      <c r="A257" s="93" t="s">
        <v>95</v>
      </c>
      <c r="B257" s="513">
        <v>701</v>
      </c>
      <c r="C257" s="94">
        <f t="shared" ref="C257:C416" si="17">+K257-M257</f>
        <v>19334638.449999999</v>
      </c>
      <c r="D257" s="94"/>
      <c r="E257" s="94"/>
      <c r="F257" s="653">
        <v>16932283.359999999</v>
      </c>
      <c r="G257" s="98"/>
      <c r="H257" s="96">
        <v>0</v>
      </c>
      <c r="I257" s="98">
        <f t="shared" si="14"/>
        <v>2402355.09</v>
      </c>
      <c r="J257" s="98">
        <f t="shared" si="14"/>
        <v>0</v>
      </c>
      <c r="K257" s="96">
        <f t="shared" si="15"/>
        <v>19334638.449999999</v>
      </c>
      <c r="L257" s="96"/>
      <c r="M257" s="96">
        <f t="shared" si="16"/>
        <v>0</v>
      </c>
      <c r="N257" s="107">
        <f>SUMIF([1]CRJ!$H$880:$H$894,B257:B662,[1]CRJ!$J$880:$J$894)</f>
        <v>0</v>
      </c>
      <c r="O257" s="100">
        <f>SUMIF([1]CRJ!$H$880:$H$894,B257:B662,[1]CRJ!$K$880:$K$894)</f>
        <v>0</v>
      </c>
      <c r="P257" s="100">
        <f>SUMIF([1]ChkDJ!$H$849:$H$867,B257:B662,[1]ChkDJ!$J$849:$J$867)</f>
        <v>0</v>
      </c>
      <c r="Q257" s="100">
        <f>SUMIF([1]ChkDJ!$H$849:$H$867,B257:B662,[1]ChkDJ!$K$849:$K$867)</f>
        <v>0</v>
      </c>
      <c r="R257" s="100">
        <f>SUMIF([1]CDJ!$H$190:$H$197,B257:B662,[1]CDJ!$J$190:$J$197)</f>
        <v>0</v>
      </c>
      <c r="S257" s="100">
        <f>SUMIF([1]CDJ!$H$190:$H$197,B257:B662,[1]CDJ!$K$190:$K$197)</f>
        <v>0</v>
      </c>
      <c r="T257" s="102">
        <f>SUMIF([1]GL!$H$448:$H$480,B257:B667,[1]GL!$J$448:$J$487)</f>
        <v>2402355.09</v>
      </c>
      <c r="U257" s="100">
        <f>SUMIF([1]GL!$H$448:$H$480,B257:B667,[1]GL!$K$448:$K$487)</f>
        <v>0</v>
      </c>
      <c r="V257" s="102"/>
      <c r="W257" s="100"/>
      <c r="X257" s="101"/>
      <c r="Y257" s="353"/>
    </row>
    <row r="258" spans="1:25" s="350" customFormat="1" ht="15.75" hidden="1" customHeight="1">
      <c r="A258" s="426" t="s">
        <v>700</v>
      </c>
      <c r="B258" s="423">
        <v>702</v>
      </c>
      <c r="C258" s="94">
        <f t="shared" si="17"/>
        <v>0</v>
      </c>
      <c r="D258" s="94"/>
      <c r="E258" s="420"/>
      <c r="F258" s="650">
        <v>0</v>
      </c>
      <c r="G258" s="651"/>
      <c r="H258" s="593">
        <v>0</v>
      </c>
      <c r="I258" s="98">
        <f t="shared" si="14"/>
        <v>0</v>
      </c>
      <c r="J258" s="98">
        <f t="shared" si="14"/>
        <v>0</v>
      </c>
      <c r="K258" s="96">
        <f t="shared" si="15"/>
        <v>0</v>
      </c>
      <c r="L258" s="96"/>
      <c r="M258" s="96">
        <f t="shared" si="16"/>
        <v>0</v>
      </c>
      <c r="N258" s="107">
        <f>SUMIF([1]CRJ!$H$880:$H$894,B258:B663,[1]CRJ!$J$880:$J$894)</f>
        <v>0</v>
      </c>
      <c r="O258" s="100">
        <f>SUMIF([1]CRJ!$H$880:$H$894,B258:B663,[1]CRJ!$K$880:$K$894)</f>
        <v>0</v>
      </c>
      <c r="P258" s="100">
        <f>SUMIF([1]ChkDJ!$H$849:$H$867,B258:B663,[1]ChkDJ!$J$849:$J$867)</f>
        <v>0</v>
      </c>
      <c r="Q258" s="100">
        <f>SUMIF([1]ChkDJ!$H$849:$H$867,B258:B663,[1]ChkDJ!$K$849:$K$867)</f>
        <v>0</v>
      </c>
      <c r="R258" s="100">
        <f>SUMIF([1]CDJ!$H$190:$H$197,B258:B663,[1]CDJ!$J$190:$J$197)</f>
        <v>0</v>
      </c>
      <c r="S258" s="100">
        <f>SUMIF([1]CDJ!$H$190:$H$197,B258:B663,[1]CDJ!$K$190:$K$197)</f>
        <v>0</v>
      </c>
      <c r="T258" s="102">
        <f>SUMIF([1]GL!$H$448:$H$480,B258:B668,[1]GL!$J$448:$J$487)</f>
        <v>0</v>
      </c>
      <c r="U258" s="100">
        <f>SUMIF([1]GL!$H$448:$H$480,B258:B668,[1]GL!$K$448:$K$487)</f>
        <v>0</v>
      </c>
      <c r="V258" s="102"/>
      <c r="W258" s="100"/>
      <c r="X258" s="101"/>
      <c r="Y258" s="353"/>
    </row>
    <row r="259" spans="1:25" s="350" customFormat="1" ht="15.75" hidden="1" customHeight="1">
      <c r="A259" s="426" t="s">
        <v>701</v>
      </c>
      <c r="B259" s="423">
        <v>703</v>
      </c>
      <c r="C259" s="94">
        <f t="shared" si="17"/>
        <v>0</v>
      </c>
      <c r="D259" s="94"/>
      <c r="E259" s="420"/>
      <c r="F259" s="650">
        <v>0</v>
      </c>
      <c r="G259" s="651"/>
      <c r="H259" s="593">
        <v>0</v>
      </c>
      <c r="I259" s="98">
        <f t="shared" si="14"/>
        <v>0</v>
      </c>
      <c r="J259" s="98">
        <f t="shared" si="14"/>
        <v>0</v>
      </c>
      <c r="K259" s="96">
        <f t="shared" si="15"/>
        <v>0</v>
      </c>
      <c r="L259" s="96"/>
      <c r="M259" s="96">
        <f t="shared" si="16"/>
        <v>0</v>
      </c>
      <c r="N259" s="107">
        <f>SUMIF([1]CRJ!$H$880:$H$894,B259:B664,[1]CRJ!$J$880:$J$894)</f>
        <v>0</v>
      </c>
      <c r="O259" s="100">
        <f>SUMIF([1]CRJ!$H$880:$H$894,B259:B664,[1]CRJ!$K$880:$K$894)</f>
        <v>0</v>
      </c>
      <c r="P259" s="100">
        <f>SUMIF([1]ChkDJ!$H$849:$H$867,B259:B664,[1]ChkDJ!$J$849:$J$867)</f>
        <v>0</v>
      </c>
      <c r="Q259" s="100">
        <f>SUMIF([1]ChkDJ!$H$849:$H$867,B259:B664,[1]ChkDJ!$K$849:$K$867)</f>
        <v>0</v>
      </c>
      <c r="R259" s="100">
        <f>SUMIF([1]CDJ!$H$190:$H$197,B259:B664,[1]CDJ!$J$190:$J$197)</f>
        <v>0</v>
      </c>
      <c r="S259" s="100">
        <f>SUMIF([1]CDJ!$H$190:$H$197,B259:B664,[1]CDJ!$K$190:$K$197)</f>
        <v>0</v>
      </c>
      <c r="T259" s="102">
        <f>SUMIF([1]GL!$H$448:$H$480,B259:B669,[1]GL!$J$448:$J$487)</f>
        <v>0</v>
      </c>
      <c r="U259" s="100">
        <f>SUMIF([1]GL!$H$448:$H$480,B259:B669,[1]GL!$K$448:$K$487)</f>
        <v>0</v>
      </c>
      <c r="V259" s="102"/>
      <c r="W259" s="100"/>
      <c r="X259" s="101"/>
      <c r="Y259" s="353"/>
    </row>
    <row r="260" spans="1:25" s="350" customFormat="1" ht="15.75" hidden="1" customHeight="1">
      <c r="A260" s="426" t="s">
        <v>702</v>
      </c>
      <c r="B260" s="423">
        <v>704</v>
      </c>
      <c r="C260" s="94">
        <f t="shared" si="17"/>
        <v>0</v>
      </c>
      <c r="D260" s="94"/>
      <c r="E260" s="420"/>
      <c r="F260" s="650">
        <v>0</v>
      </c>
      <c r="G260" s="651"/>
      <c r="H260" s="593">
        <v>0</v>
      </c>
      <c r="I260" s="98">
        <f t="shared" si="14"/>
        <v>0</v>
      </c>
      <c r="J260" s="98">
        <f t="shared" si="14"/>
        <v>0</v>
      </c>
      <c r="K260" s="96">
        <f t="shared" si="15"/>
        <v>0</v>
      </c>
      <c r="L260" s="96"/>
      <c r="M260" s="96">
        <f t="shared" si="16"/>
        <v>0</v>
      </c>
      <c r="N260" s="107">
        <f>SUMIF([1]CRJ!$H$880:$H$894,B260:B665,[1]CRJ!$J$880:$J$894)</f>
        <v>0</v>
      </c>
      <c r="O260" s="100">
        <f>SUMIF([1]CRJ!$H$880:$H$894,B260:B665,[1]CRJ!$K$880:$K$894)</f>
        <v>0</v>
      </c>
      <c r="P260" s="100">
        <f>SUMIF([1]ChkDJ!$H$849:$H$867,B260:B665,[1]ChkDJ!$J$849:$J$867)</f>
        <v>0</v>
      </c>
      <c r="Q260" s="100">
        <f>SUMIF([1]ChkDJ!$H$849:$H$867,B260:B665,[1]ChkDJ!$K$849:$K$867)</f>
        <v>0</v>
      </c>
      <c r="R260" s="100">
        <f>SUMIF([1]CDJ!$H$190:$H$197,B260:B665,[1]CDJ!$J$190:$J$197)</f>
        <v>0</v>
      </c>
      <c r="S260" s="100">
        <f>SUMIF([1]CDJ!$H$190:$H$197,B260:B665,[1]CDJ!$K$190:$K$197)</f>
        <v>0</v>
      </c>
      <c r="T260" s="102">
        <f>SUMIF([1]GL!$H$448:$H$480,B260:B670,[1]GL!$J$448:$J$487)</f>
        <v>0</v>
      </c>
      <c r="U260" s="100">
        <f>SUMIF([1]GL!$H$448:$H$480,B260:B670,[1]GL!$K$448:$K$487)</f>
        <v>0</v>
      </c>
      <c r="V260" s="102"/>
      <c r="W260" s="100"/>
      <c r="X260" s="101"/>
      <c r="Y260" s="353"/>
    </row>
    <row r="261" spans="1:25" s="105" customFormat="1" ht="15.75">
      <c r="A261" s="93" t="s">
        <v>51</v>
      </c>
      <c r="B261" s="513">
        <v>705</v>
      </c>
      <c r="C261" s="94">
        <f t="shared" si="17"/>
        <v>1461425.6300000001</v>
      </c>
      <c r="D261" s="94"/>
      <c r="E261" s="94"/>
      <c r="F261" s="653">
        <v>1303984.1700000002</v>
      </c>
      <c r="G261" s="98"/>
      <c r="H261" s="96">
        <v>0</v>
      </c>
      <c r="I261" s="98">
        <f t="shared" si="14"/>
        <v>157441.46</v>
      </c>
      <c r="J261" s="98">
        <f t="shared" si="14"/>
        <v>0</v>
      </c>
      <c r="K261" s="96">
        <f t="shared" si="15"/>
        <v>1461425.6300000001</v>
      </c>
      <c r="L261" s="96"/>
      <c r="M261" s="96">
        <f t="shared" si="16"/>
        <v>0</v>
      </c>
      <c r="N261" s="107">
        <f>SUMIF([1]CRJ!$H$880:$H$894,B261:B666,[1]CRJ!$J$880:$J$894)</f>
        <v>0</v>
      </c>
      <c r="O261" s="100">
        <f>SUMIF([1]CRJ!$H$880:$H$894,B261:B666,[1]CRJ!$K$880:$K$894)</f>
        <v>0</v>
      </c>
      <c r="P261" s="100">
        <f>SUMIF([1]ChkDJ!$H$849:$H$867,B261:B666,[1]ChkDJ!$J$849:$J$867)</f>
        <v>0</v>
      </c>
      <c r="Q261" s="100">
        <f>SUMIF([1]ChkDJ!$H$849:$H$867,B261:B666,[1]ChkDJ!$K$849:$K$867)</f>
        <v>0</v>
      </c>
      <c r="R261" s="100">
        <f>SUMIF([1]CDJ!$H$190:$H$197,B261:B666,[1]CDJ!$J$190:$J$197)</f>
        <v>0</v>
      </c>
      <c r="S261" s="100">
        <f>SUMIF([1]CDJ!$H$190:$H$197,B261:B666,[1]CDJ!$K$190:$K$197)</f>
        <v>0</v>
      </c>
      <c r="T261" s="102">
        <f>SUMIF([1]GL!$H$448:$H$480,B261:B671,[1]GL!$J$448:$J$487)</f>
        <v>157441.46</v>
      </c>
      <c r="U261" s="100">
        <f>SUMIF([1]GL!$H$448:$H$480,B261:B671,[1]GL!$K$448:$K$487)</f>
        <v>0</v>
      </c>
      <c r="V261" s="102"/>
      <c r="W261" s="100"/>
      <c r="X261" s="101"/>
      <c r="Y261" s="353"/>
    </row>
    <row r="262" spans="1:25" s="350" customFormat="1" ht="15.75" hidden="1" customHeight="1">
      <c r="A262" s="426" t="s">
        <v>703</v>
      </c>
      <c r="B262" s="423">
        <v>706</v>
      </c>
      <c r="C262" s="94">
        <f t="shared" si="17"/>
        <v>0</v>
      </c>
      <c r="D262" s="94"/>
      <c r="E262" s="420"/>
      <c r="F262" s="650">
        <v>0</v>
      </c>
      <c r="G262" s="651"/>
      <c r="H262" s="593">
        <v>0</v>
      </c>
      <c r="I262" s="98">
        <f t="shared" si="14"/>
        <v>0</v>
      </c>
      <c r="J262" s="98">
        <f t="shared" si="14"/>
        <v>0</v>
      </c>
      <c r="K262" s="96">
        <f t="shared" si="15"/>
        <v>0</v>
      </c>
      <c r="L262" s="96"/>
      <c r="M262" s="96">
        <f t="shared" si="16"/>
        <v>0</v>
      </c>
      <c r="N262" s="107">
        <f>SUMIF([1]CRJ!$H$880:$H$894,B262:B667,[1]CRJ!$J$880:$J$894)</f>
        <v>0</v>
      </c>
      <c r="O262" s="100">
        <f>SUMIF([1]CRJ!$H$880:$H$894,B262:B667,[1]CRJ!$K$880:$K$894)</f>
        <v>0</v>
      </c>
      <c r="P262" s="100">
        <f>SUMIF([1]ChkDJ!$H$849:$H$867,B262:B667,[1]ChkDJ!$J$849:$J$867)</f>
        <v>0</v>
      </c>
      <c r="Q262" s="100">
        <f>SUMIF([1]ChkDJ!$H$849:$H$867,B262:B667,[1]ChkDJ!$K$849:$K$867)</f>
        <v>0</v>
      </c>
      <c r="R262" s="100">
        <f>SUMIF([1]CDJ!$H$190:$H$197,B262:B667,[1]CDJ!$J$190:$J$197)</f>
        <v>0</v>
      </c>
      <c r="S262" s="100">
        <f>SUMIF([1]CDJ!$H$190:$H$197,B262:B667,[1]CDJ!$K$190:$K$197)</f>
        <v>0</v>
      </c>
      <c r="T262" s="102">
        <f>SUMIF([1]GL!$H$448:$H$480,B262:B672,[1]GL!$J$448:$J$487)</f>
        <v>0</v>
      </c>
      <c r="U262" s="100">
        <f>SUMIF([1]GL!$H$448:$H$480,B262:B672,[1]GL!$K$448:$K$487)</f>
        <v>0</v>
      </c>
      <c r="V262" s="102"/>
      <c r="W262" s="100"/>
      <c r="X262" s="101"/>
      <c r="Y262" s="353"/>
    </row>
    <row r="263" spans="1:25" s="350" customFormat="1" ht="15.75" hidden="1" customHeight="1">
      <c r="A263" s="426" t="s">
        <v>704</v>
      </c>
      <c r="B263" s="423">
        <v>707</v>
      </c>
      <c r="C263" s="94">
        <f t="shared" si="17"/>
        <v>0</v>
      </c>
      <c r="D263" s="94"/>
      <c r="E263" s="420"/>
      <c r="F263" s="650">
        <v>0</v>
      </c>
      <c r="G263" s="651"/>
      <c r="H263" s="593">
        <v>0</v>
      </c>
      <c r="I263" s="98">
        <f t="shared" si="14"/>
        <v>0</v>
      </c>
      <c r="J263" s="98">
        <f t="shared" si="14"/>
        <v>0</v>
      </c>
      <c r="K263" s="96">
        <f t="shared" si="15"/>
        <v>0</v>
      </c>
      <c r="L263" s="96"/>
      <c r="M263" s="96">
        <f t="shared" si="16"/>
        <v>0</v>
      </c>
      <c r="N263" s="107">
        <f>SUMIF([1]CRJ!$H$880:$H$894,B263:B668,[1]CRJ!$J$880:$J$894)</f>
        <v>0</v>
      </c>
      <c r="O263" s="100">
        <f>SUMIF([1]CRJ!$H$880:$H$894,B263:B668,[1]CRJ!$K$880:$K$894)</f>
        <v>0</v>
      </c>
      <c r="P263" s="100">
        <f>SUMIF([1]ChkDJ!$H$849:$H$867,B263:B668,[1]ChkDJ!$J$849:$J$867)</f>
        <v>0</v>
      </c>
      <c r="Q263" s="100">
        <f>SUMIF([1]ChkDJ!$H$849:$H$867,B263:B668,[1]ChkDJ!$K$849:$K$867)</f>
        <v>0</v>
      </c>
      <c r="R263" s="100">
        <f>SUMIF([1]CDJ!$H$190:$H$197,B263:B668,[1]CDJ!$J$190:$J$197)</f>
        <v>0</v>
      </c>
      <c r="S263" s="100">
        <f>SUMIF([1]CDJ!$H$190:$H$197,B263:B668,[1]CDJ!$K$190:$K$197)</f>
        <v>0</v>
      </c>
      <c r="T263" s="102">
        <f>SUMIF([1]GL!$H$448:$H$480,B263:B673,[1]GL!$J$448:$J$487)</f>
        <v>0</v>
      </c>
      <c r="U263" s="100">
        <f>SUMIF([1]GL!$H$448:$H$480,B263:B673,[1]GL!$K$448:$K$487)</f>
        <v>0</v>
      </c>
      <c r="V263" s="102"/>
      <c r="W263" s="100"/>
      <c r="X263" s="101"/>
      <c r="Y263" s="353"/>
    </row>
    <row r="264" spans="1:25" s="105" customFormat="1" ht="15.75">
      <c r="A264" s="93" t="s">
        <v>52</v>
      </c>
      <c r="B264" s="513">
        <v>711</v>
      </c>
      <c r="C264" s="94">
        <f t="shared" si="17"/>
        <v>2560146.62</v>
      </c>
      <c r="D264" s="94"/>
      <c r="E264" s="94"/>
      <c r="F264" s="653">
        <v>2247958.52</v>
      </c>
      <c r="G264" s="98"/>
      <c r="H264" s="96">
        <v>0</v>
      </c>
      <c r="I264" s="98">
        <f t="shared" si="14"/>
        <v>312188.09999999998</v>
      </c>
      <c r="J264" s="98">
        <f t="shared" si="14"/>
        <v>0</v>
      </c>
      <c r="K264" s="96">
        <f t="shared" si="15"/>
        <v>2560146.62</v>
      </c>
      <c r="L264" s="96"/>
      <c r="M264" s="96">
        <f t="shared" si="16"/>
        <v>0</v>
      </c>
      <c r="N264" s="107">
        <f>SUMIF([1]CRJ!$H$880:$H$894,B264:B669,[1]CRJ!$J$880:$J$894)</f>
        <v>0</v>
      </c>
      <c r="O264" s="100">
        <f>SUMIF([1]CRJ!$H$880:$H$894,B264:B669,[1]CRJ!$K$880:$K$894)</f>
        <v>0</v>
      </c>
      <c r="P264" s="100">
        <f>SUMIF([1]ChkDJ!$H$849:$H$867,B264:B669,[1]ChkDJ!$J$849:$J$867)</f>
        <v>0</v>
      </c>
      <c r="Q264" s="100">
        <f>SUMIF([1]ChkDJ!$H$849:$H$867,B264:B669,[1]ChkDJ!$K$849:$K$867)</f>
        <v>0</v>
      </c>
      <c r="R264" s="100">
        <f>SUMIF([1]CDJ!$H$190:$H$197,B264:B669,[1]CDJ!$J$190:$J$197)</f>
        <v>0</v>
      </c>
      <c r="S264" s="100">
        <f>SUMIF([1]CDJ!$H$190:$H$197,B264:B669,[1]CDJ!$K$190:$K$197)</f>
        <v>0</v>
      </c>
      <c r="T264" s="102">
        <f>SUMIF([1]GL!$H$448:$H$480,B264:B674,[1]GL!$J$448:$J$487)</f>
        <v>312188.09999999998</v>
      </c>
      <c r="U264" s="100">
        <f>SUMIF([1]GL!$H$448:$H$480,B264:B674,[1]GL!$K$448:$K$487)</f>
        <v>0</v>
      </c>
      <c r="V264" s="102"/>
      <c r="W264" s="100"/>
      <c r="X264" s="101"/>
      <c r="Y264" s="353"/>
    </row>
    <row r="265" spans="1:25" s="105" customFormat="1" ht="15.75" hidden="1" customHeight="1">
      <c r="A265" s="93" t="s">
        <v>53</v>
      </c>
      <c r="B265" s="513">
        <v>712</v>
      </c>
      <c r="C265" s="94">
        <f t="shared" si="17"/>
        <v>0</v>
      </c>
      <c r="D265" s="94"/>
      <c r="E265" s="94"/>
      <c r="F265" s="653">
        <v>0</v>
      </c>
      <c r="G265" s="98"/>
      <c r="H265" s="96">
        <v>0</v>
      </c>
      <c r="I265" s="98">
        <f t="shared" ref="I265:J328" si="18">+N265+P265+R265+T265+V265+X265</f>
        <v>0</v>
      </c>
      <c r="J265" s="98">
        <f t="shared" si="18"/>
        <v>0</v>
      </c>
      <c r="K265" s="96">
        <f t="shared" si="15"/>
        <v>0</v>
      </c>
      <c r="L265" s="96"/>
      <c r="M265" s="96">
        <f t="shared" si="16"/>
        <v>0</v>
      </c>
      <c r="N265" s="107">
        <f>SUMIF([1]CRJ!$H$880:$H$894,B265:B670,[1]CRJ!$J$880:$J$894)</f>
        <v>0</v>
      </c>
      <c r="O265" s="100">
        <f>SUMIF([1]CRJ!$H$880:$H$894,B265:B670,[1]CRJ!$K$880:$K$894)</f>
        <v>0</v>
      </c>
      <c r="P265" s="100">
        <f>SUMIF([1]ChkDJ!$H$849:$H$867,B265:B670,[1]ChkDJ!$J$849:$J$867)</f>
        <v>0</v>
      </c>
      <c r="Q265" s="100">
        <f>SUMIF([1]ChkDJ!$H$849:$H$867,B265:B670,[1]ChkDJ!$K$849:$K$867)</f>
        <v>0</v>
      </c>
      <c r="R265" s="100">
        <f>SUMIF([1]CDJ!$H$190:$H$197,B265:B670,[1]CDJ!$J$190:$J$197)</f>
        <v>0</v>
      </c>
      <c r="S265" s="100">
        <f>SUMIF([1]CDJ!$H$190:$H$197,B265:B670,[1]CDJ!$K$190:$K$197)</f>
        <v>0</v>
      </c>
      <c r="T265" s="102">
        <f>SUMIF([1]GL!$H$448:$H$480,B265:B675,[1]GL!$J$448:$J$487)</f>
        <v>0</v>
      </c>
      <c r="U265" s="100">
        <f>SUMIF([1]GL!$H$448:$H$480,B265:B675,[1]GL!$K$448:$K$487)</f>
        <v>0</v>
      </c>
      <c r="V265" s="102"/>
      <c r="W265" s="100"/>
      <c r="X265" s="101"/>
      <c r="Y265" s="353"/>
    </row>
    <row r="266" spans="1:25" s="350" customFormat="1" ht="15.75" hidden="1" customHeight="1">
      <c r="A266" s="419" t="s">
        <v>705</v>
      </c>
      <c r="B266" s="423">
        <v>713</v>
      </c>
      <c r="C266" s="94">
        <f t="shared" si="17"/>
        <v>0</v>
      </c>
      <c r="D266" s="94"/>
      <c r="E266" s="420"/>
      <c r="F266" s="650">
        <v>0</v>
      </c>
      <c r="G266" s="651"/>
      <c r="H266" s="593">
        <v>0</v>
      </c>
      <c r="I266" s="98">
        <f t="shared" si="18"/>
        <v>0</v>
      </c>
      <c r="J266" s="98">
        <f t="shared" si="18"/>
        <v>0</v>
      </c>
      <c r="K266" s="96">
        <f t="shared" si="15"/>
        <v>0</v>
      </c>
      <c r="L266" s="96"/>
      <c r="M266" s="96">
        <f t="shared" si="16"/>
        <v>0</v>
      </c>
      <c r="N266" s="107">
        <f>SUMIF([1]CRJ!$H$880:$H$894,B266:B671,[1]CRJ!$J$880:$J$894)</f>
        <v>0</v>
      </c>
      <c r="O266" s="100">
        <f>SUMIF([1]CRJ!$H$880:$H$894,B266:B671,[1]CRJ!$K$880:$K$894)</f>
        <v>0</v>
      </c>
      <c r="P266" s="100">
        <f>SUMIF([1]ChkDJ!$H$849:$H$867,B266:B671,[1]ChkDJ!$J$849:$J$867)</f>
        <v>0</v>
      </c>
      <c r="Q266" s="100">
        <f>SUMIF([1]ChkDJ!$H$849:$H$867,B266:B671,[1]ChkDJ!$K$849:$K$867)</f>
        <v>0</v>
      </c>
      <c r="R266" s="100">
        <f>SUMIF([1]CDJ!$H$190:$H$197,B266:B671,[1]CDJ!$J$190:$J$197)</f>
        <v>0</v>
      </c>
      <c r="S266" s="100">
        <f>SUMIF([1]CDJ!$H$190:$H$197,B266:B671,[1]CDJ!$K$190:$K$197)</f>
        <v>0</v>
      </c>
      <c r="T266" s="102">
        <f>SUMIF([1]GL!$H$448:$H$480,B266:B676,[1]GL!$J$448:$J$487)</f>
        <v>0</v>
      </c>
      <c r="U266" s="100">
        <f>SUMIF([1]GL!$H$448:$H$480,B266:B676,[1]GL!$K$448:$K$487)</f>
        <v>0</v>
      </c>
      <c r="V266" s="102"/>
      <c r="W266" s="100"/>
      <c r="X266" s="101"/>
      <c r="Y266" s="353"/>
    </row>
    <row r="267" spans="1:25" s="105" customFormat="1" ht="15.75" hidden="1" customHeight="1">
      <c r="A267" s="93" t="s">
        <v>54</v>
      </c>
      <c r="B267" s="513">
        <v>714</v>
      </c>
      <c r="C267" s="94">
        <f t="shared" si="17"/>
        <v>0</v>
      </c>
      <c r="D267" s="94"/>
      <c r="E267" s="94"/>
      <c r="F267" s="653">
        <v>0</v>
      </c>
      <c r="G267" s="98"/>
      <c r="H267" s="96">
        <v>0</v>
      </c>
      <c r="I267" s="98">
        <f t="shared" si="18"/>
        <v>0</v>
      </c>
      <c r="J267" s="98">
        <f t="shared" si="18"/>
        <v>0</v>
      </c>
      <c r="K267" s="96">
        <f t="shared" si="15"/>
        <v>0</v>
      </c>
      <c r="L267" s="96"/>
      <c r="M267" s="96">
        <f t="shared" si="16"/>
        <v>0</v>
      </c>
      <c r="N267" s="107">
        <f>SUMIF([1]CRJ!$H$880:$H$894,B267:B672,[1]CRJ!$J$880:$J$894)</f>
        <v>0</v>
      </c>
      <c r="O267" s="100">
        <f>SUMIF([1]CRJ!$H$880:$H$894,B267:B672,[1]CRJ!$K$880:$K$894)</f>
        <v>0</v>
      </c>
      <c r="P267" s="100">
        <f>SUMIF([1]ChkDJ!$H$849:$H$867,B267:B672,[1]ChkDJ!$J$849:$J$867)</f>
        <v>0</v>
      </c>
      <c r="Q267" s="100">
        <f>SUMIF([1]ChkDJ!$H$849:$H$867,B267:B672,[1]ChkDJ!$K$849:$K$867)</f>
        <v>0</v>
      </c>
      <c r="R267" s="100">
        <f>SUMIF([1]CDJ!$H$190:$H$197,B267:B672,[1]CDJ!$J$190:$J$197)</f>
        <v>0</v>
      </c>
      <c r="S267" s="100">
        <f>SUMIF([1]CDJ!$H$190:$H$197,B267:B672,[1]CDJ!$K$190:$K$197)</f>
        <v>0</v>
      </c>
      <c r="T267" s="102">
        <f>SUMIF([1]GL!$H$448:$H$480,B267:B677,[1]GL!$J$448:$J$487)</f>
        <v>0</v>
      </c>
      <c r="U267" s="100">
        <f>SUMIF([1]GL!$H$448:$H$480,B267:B677,[1]GL!$K$448:$K$487)</f>
        <v>0</v>
      </c>
      <c r="V267" s="102"/>
      <c r="W267" s="100"/>
      <c r="X267" s="101"/>
      <c r="Y267" s="353"/>
    </row>
    <row r="268" spans="1:25" s="105" customFormat="1" ht="15.75">
      <c r="A268" s="93" t="s">
        <v>55</v>
      </c>
      <c r="B268" s="513">
        <v>715</v>
      </c>
      <c r="C268" s="94">
        <f t="shared" si="17"/>
        <v>652000</v>
      </c>
      <c r="D268" s="94"/>
      <c r="E268" s="94"/>
      <c r="F268" s="653">
        <v>652000</v>
      </c>
      <c r="G268" s="98"/>
      <c r="H268" s="96">
        <v>0</v>
      </c>
      <c r="I268" s="98">
        <f t="shared" si="18"/>
        <v>0</v>
      </c>
      <c r="J268" s="98">
        <f t="shared" si="18"/>
        <v>0</v>
      </c>
      <c r="K268" s="96">
        <f t="shared" ref="K268:K331" si="19">+F268+I268</f>
        <v>652000</v>
      </c>
      <c r="L268" s="96"/>
      <c r="M268" s="96">
        <f t="shared" si="16"/>
        <v>0</v>
      </c>
      <c r="N268" s="107">
        <f>SUMIF([1]CRJ!$H$880:$H$894,B268:B673,[1]CRJ!$J$880:$J$894)</f>
        <v>0</v>
      </c>
      <c r="O268" s="100">
        <f>SUMIF([1]CRJ!$H$880:$H$894,B268:B673,[1]CRJ!$K$880:$K$894)</f>
        <v>0</v>
      </c>
      <c r="P268" s="100">
        <f>SUMIF([1]ChkDJ!$H$849:$H$867,B268:B673,[1]ChkDJ!$J$849:$J$867)</f>
        <v>0</v>
      </c>
      <c r="Q268" s="100">
        <f>SUMIF([1]ChkDJ!$H$849:$H$867,B268:B673,[1]ChkDJ!$K$849:$K$867)</f>
        <v>0</v>
      </c>
      <c r="R268" s="100">
        <f>SUMIF([1]CDJ!$H$190:$H$197,B268:B673,[1]CDJ!$J$190:$J$197)</f>
        <v>0</v>
      </c>
      <c r="S268" s="100">
        <f>SUMIF([1]CDJ!$H$190:$H$197,B268:B673,[1]CDJ!$K$190:$K$197)</f>
        <v>0</v>
      </c>
      <c r="T268" s="102">
        <f>SUMIF([1]GL!$H$448:$H$480,B268:B678,[1]GL!$J$448:$J$487)</f>
        <v>0</v>
      </c>
      <c r="U268" s="100">
        <f>SUMIF([1]GL!$H$448:$H$480,B268:B678,[1]GL!$K$448:$K$487)</f>
        <v>0</v>
      </c>
      <c r="V268" s="102"/>
      <c r="W268" s="100"/>
      <c r="X268" s="101"/>
      <c r="Y268" s="353"/>
    </row>
    <row r="269" spans="1:25" s="350" customFormat="1" ht="15.75" hidden="1" customHeight="1">
      <c r="A269" s="427" t="s">
        <v>706</v>
      </c>
      <c r="B269" s="423">
        <v>716</v>
      </c>
      <c r="C269" s="94">
        <f t="shared" si="17"/>
        <v>0</v>
      </c>
      <c r="D269" s="94"/>
      <c r="E269" s="420"/>
      <c r="F269" s="650">
        <v>0</v>
      </c>
      <c r="G269" s="651"/>
      <c r="H269" s="593">
        <v>0</v>
      </c>
      <c r="I269" s="98">
        <f t="shared" si="18"/>
        <v>0</v>
      </c>
      <c r="J269" s="98">
        <f t="shared" si="18"/>
        <v>0</v>
      </c>
      <c r="K269" s="96">
        <f t="shared" si="19"/>
        <v>0</v>
      </c>
      <c r="L269" s="96"/>
      <c r="M269" s="96">
        <f t="shared" ref="M269:M332" si="20">+H269+J269</f>
        <v>0</v>
      </c>
      <c r="N269" s="107">
        <f>SUMIF([1]CRJ!$H$880:$H$894,B269:B674,[1]CRJ!$J$880:$J$894)</f>
        <v>0</v>
      </c>
      <c r="O269" s="100">
        <f>SUMIF([1]CRJ!$H$880:$H$894,B269:B674,[1]CRJ!$K$880:$K$894)</f>
        <v>0</v>
      </c>
      <c r="P269" s="100">
        <f>SUMIF([1]ChkDJ!$H$849:$H$867,B269:B674,[1]ChkDJ!$J$849:$J$867)</f>
        <v>0</v>
      </c>
      <c r="Q269" s="100">
        <f>SUMIF([1]ChkDJ!$H$849:$H$867,B269:B674,[1]ChkDJ!$K$849:$K$867)</f>
        <v>0</v>
      </c>
      <c r="R269" s="100">
        <f>SUMIF([1]CDJ!$H$190:$H$197,B269:B674,[1]CDJ!$J$190:$J$197)</f>
        <v>0</v>
      </c>
      <c r="S269" s="100">
        <f>SUMIF([1]CDJ!$H$190:$H$197,B269:B674,[1]CDJ!$K$190:$K$197)</f>
        <v>0</v>
      </c>
      <c r="T269" s="102">
        <f>SUMIF([1]GL!$H$448:$H$480,B269:B679,[1]GL!$J$448:$J$487)</f>
        <v>0</v>
      </c>
      <c r="U269" s="100">
        <f>SUMIF([1]GL!$H$448:$H$480,B269:B679,[1]GL!$K$448:$K$487)</f>
        <v>0</v>
      </c>
      <c r="V269" s="102"/>
      <c r="W269" s="100"/>
      <c r="X269" s="101"/>
      <c r="Y269" s="353"/>
    </row>
    <row r="270" spans="1:25" s="105" customFormat="1" ht="15.75">
      <c r="A270" s="93" t="s">
        <v>56</v>
      </c>
      <c r="B270" s="513">
        <v>717</v>
      </c>
      <c r="C270" s="94">
        <f t="shared" si="17"/>
        <v>22000</v>
      </c>
      <c r="D270" s="94"/>
      <c r="E270" s="94"/>
      <c r="F270" s="653">
        <v>22000</v>
      </c>
      <c r="G270" s="98"/>
      <c r="H270" s="96">
        <v>0</v>
      </c>
      <c r="I270" s="98">
        <f t="shared" si="18"/>
        <v>0</v>
      </c>
      <c r="J270" s="98">
        <f t="shared" si="18"/>
        <v>0</v>
      </c>
      <c r="K270" s="96">
        <f t="shared" si="19"/>
        <v>22000</v>
      </c>
      <c r="L270" s="96"/>
      <c r="M270" s="96">
        <f t="shared" si="20"/>
        <v>0</v>
      </c>
      <c r="N270" s="107">
        <f>SUMIF([1]CRJ!$H$880:$H$894,B270:B675,[1]CRJ!$J$880:$J$894)</f>
        <v>0</v>
      </c>
      <c r="O270" s="100">
        <f>SUMIF([1]CRJ!$H$880:$H$894,B270:B675,[1]CRJ!$K$880:$K$894)</f>
        <v>0</v>
      </c>
      <c r="P270" s="100">
        <f>SUMIF([1]ChkDJ!$H$849:$H$867,B270:B675,[1]ChkDJ!$J$849:$J$867)</f>
        <v>0</v>
      </c>
      <c r="Q270" s="100">
        <f>SUMIF([1]ChkDJ!$H$849:$H$867,B270:B675,[1]ChkDJ!$K$849:$K$867)</f>
        <v>0</v>
      </c>
      <c r="R270" s="100">
        <f>SUMIF([1]CDJ!$H$190:$H$197,B270:B675,[1]CDJ!$J$190:$J$197)</f>
        <v>0</v>
      </c>
      <c r="S270" s="100">
        <f>SUMIF([1]CDJ!$H$190:$H$197,B270:B675,[1]CDJ!$K$190:$K$197)</f>
        <v>0</v>
      </c>
      <c r="T270" s="102">
        <f>SUMIF([1]GL!$H$448:$H$480,B270:B680,[1]GL!$J$448:$J$487)</f>
        <v>0</v>
      </c>
      <c r="U270" s="100">
        <f>SUMIF([1]GL!$H$448:$H$480,B270:B680,[1]GL!$K$448:$K$487)</f>
        <v>0</v>
      </c>
      <c r="V270" s="102"/>
      <c r="W270" s="100"/>
      <c r="X270" s="101"/>
      <c r="Y270" s="353"/>
    </row>
    <row r="271" spans="1:25" s="105" customFormat="1" ht="15.75" hidden="1" customHeight="1">
      <c r="A271" s="93" t="s">
        <v>96</v>
      </c>
      <c r="B271" s="513">
        <v>719</v>
      </c>
      <c r="C271" s="94">
        <f t="shared" si="17"/>
        <v>0</v>
      </c>
      <c r="D271" s="94"/>
      <c r="E271" s="94"/>
      <c r="F271" s="653">
        <v>0</v>
      </c>
      <c r="G271" s="98"/>
      <c r="H271" s="96">
        <v>0</v>
      </c>
      <c r="I271" s="98">
        <f t="shared" si="18"/>
        <v>0</v>
      </c>
      <c r="J271" s="98">
        <f t="shared" si="18"/>
        <v>0</v>
      </c>
      <c r="K271" s="96">
        <f t="shared" si="19"/>
        <v>0</v>
      </c>
      <c r="L271" s="96"/>
      <c r="M271" s="96">
        <f t="shared" si="20"/>
        <v>0</v>
      </c>
      <c r="N271" s="107">
        <f>SUMIF([1]CRJ!$H$880:$H$894,B271:B676,[1]CRJ!$J$880:$J$894)</f>
        <v>0</v>
      </c>
      <c r="O271" s="100">
        <f>SUMIF([1]CRJ!$H$880:$H$894,B271:B676,[1]CRJ!$K$880:$K$894)</f>
        <v>0</v>
      </c>
      <c r="P271" s="100">
        <f>SUMIF([1]ChkDJ!$H$849:$H$867,B271:B676,[1]ChkDJ!$J$849:$J$867)</f>
        <v>0</v>
      </c>
      <c r="Q271" s="100">
        <f>SUMIF([1]ChkDJ!$H$849:$H$867,B271:B676,[1]ChkDJ!$K$849:$K$867)</f>
        <v>0</v>
      </c>
      <c r="R271" s="100">
        <f>SUMIF([1]CDJ!$H$190:$H$197,B271:B676,[1]CDJ!$J$190:$J$197)</f>
        <v>0</v>
      </c>
      <c r="S271" s="100">
        <f>SUMIF([1]CDJ!$H$190:$H$197,B271:B676,[1]CDJ!$K$190:$K$197)</f>
        <v>0</v>
      </c>
      <c r="T271" s="102">
        <f>SUMIF([1]GL!$H$448:$H$480,B271:B681,[1]GL!$J$448:$J$487)</f>
        <v>0</v>
      </c>
      <c r="U271" s="100">
        <f>SUMIF([1]GL!$H$448:$H$480,B271:B681,[1]GL!$K$448:$K$487)</f>
        <v>0</v>
      </c>
      <c r="V271" s="102"/>
      <c r="W271" s="100"/>
      <c r="X271" s="101"/>
      <c r="Y271" s="353"/>
    </row>
    <row r="272" spans="1:25" s="105" customFormat="1" ht="15.75">
      <c r="A272" s="93" t="s">
        <v>57</v>
      </c>
      <c r="B272" s="513">
        <v>720</v>
      </c>
      <c r="C272" s="94">
        <f t="shared" si="17"/>
        <v>584200</v>
      </c>
      <c r="D272" s="94"/>
      <c r="E272" s="94"/>
      <c r="F272" s="653">
        <v>7000</v>
      </c>
      <c r="G272" s="98"/>
      <c r="H272" s="96">
        <v>0</v>
      </c>
      <c r="I272" s="98">
        <f t="shared" si="18"/>
        <v>577200</v>
      </c>
      <c r="J272" s="98">
        <f t="shared" si="18"/>
        <v>0</v>
      </c>
      <c r="K272" s="96">
        <f t="shared" si="19"/>
        <v>584200</v>
      </c>
      <c r="L272" s="96"/>
      <c r="M272" s="96">
        <f t="shared" si="20"/>
        <v>0</v>
      </c>
      <c r="N272" s="107">
        <f>SUMIF([1]CRJ!$H$880:$H$894,B272:B677,[1]CRJ!$J$880:$J$894)</f>
        <v>0</v>
      </c>
      <c r="O272" s="100">
        <f>SUMIF([1]CRJ!$H$880:$H$894,B272:B677,[1]CRJ!$K$880:$K$894)</f>
        <v>0</v>
      </c>
      <c r="P272" s="100">
        <f>SUMIF([1]ChkDJ!$H$849:$H$867,B272:B677,[1]ChkDJ!$J$849:$J$867)</f>
        <v>0</v>
      </c>
      <c r="Q272" s="100">
        <f>SUMIF([1]ChkDJ!$H$849:$H$867,B272:B677,[1]ChkDJ!$K$849:$K$867)</f>
        <v>0</v>
      </c>
      <c r="R272" s="100">
        <f>SUMIF([1]CDJ!$H$190:$H$197,B272:B677,[1]CDJ!$J$190:$J$197)</f>
        <v>577200</v>
      </c>
      <c r="S272" s="100">
        <f>SUMIF([1]CDJ!$H$190:$H$197,B272:B677,[1]CDJ!$K$190:$K$197)</f>
        <v>0</v>
      </c>
      <c r="T272" s="102">
        <f>SUMIF([1]GL!$H$448:$H$480,B272:B682,[1]GL!$J$448:$J$487)</f>
        <v>0</v>
      </c>
      <c r="U272" s="100">
        <f>SUMIF([1]GL!$H$448:$H$480,B272:B682,[1]GL!$K$448:$K$487)</f>
        <v>0</v>
      </c>
      <c r="V272" s="102"/>
      <c r="W272" s="100"/>
      <c r="X272" s="101"/>
      <c r="Y272" s="353"/>
    </row>
    <row r="273" spans="1:25" s="105" customFormat="1" ht="15.75" hidden="1">
      <c r="A273" s="93" t="s">
        <v>97</v>
      </c>
      <c r="B273" s="513">
        <v>721</v>
      </c>
      <c r="C273" s="94">
        <f t="shared" si="17"/>
        <v>0</v>
      </c>
      <c r="D273" s="94"/>
      <c r="E273" s="94"/>
      <c r="F273" s="653">
        <v>0</v>
      </c>
      <c r="G273" s="98"/>
      <c r="H273" s="96">
        <v>0</v>
      </c>
      <c r="I273" s="98">
        <f t="shared" si="18"/>
        <v>0</v>
      </c>
      <c r="J273" s="98">
        <f t="shared" si="18"/>
        <v>0</v>
      </c>
      <c r="K273" s="96">
        <f t="shared" si="19"/>
        <v>0</v>
      </c>
      <c r="L273" s="96"/>
      <c r="M273" s="96">
        <f t="shared" si="20"/>
        <v>0</v>
      </c>
      <c r="N273" s="107">
        <f>SUMIF([1]CRJ!$H$880:$H$894,B273:B678,[1]CRJ!$J$880:$J$894)</f>
        <v>0</v>
      </c>
      <c r="O273" s="100">
        <f>SUMIF([1]CRJ!$H$880:$H$894,B273:B678,[1]CRJ!$K$880:$K$894)</f>
        <v>0</v>
      </c>
      <c r="P273" s="100">
        <f>SUMIF([1]ChkDJ!$H$849:$H$867,B273:B678,[1]ChkDJ!$J$849:$J$867)</f>
        <v>0</v>
      </c>
      <c r="Q273" s="100">
        <f>SUMIF([1]ChkDJ!$H$849:$H$867,B273:B678,[1]ChkDJ!$K$849:$K$867)</f>
        <v>0</v>
      </c>
      <c r="R273" s="100">
        <f>SUMIF([1]CDJ!$H$190:$H$197,B273:B678,[1]CDJ!$J$190:$J$197)</f>
        <v>0</v>
      </c>
      <c r="S273" s="100">
        <f>SUMIF([1]CDJ!$H$190:$H$197,B273:B678,[1]CDJ!$K$190:$K$197)</f>
        <v>0</v>
      </c>
      <c r="T273" s="102">
        <f>SUMIF([1]GL!$H$448:$H$480,B273:B683,[1]GL!$J$448:$J$487)</f>
        <v>0</v>
      </c>
      <c r="U273" s="100">
        <f>SUMIF([1]GL!$H$448:$H$480,B273:B683,[1]GL!$K$448:$K$487)</f>
        <v>0</v>
      </c>
      <c r="V273" s="102"/>
      <c r="W273" s="100"/>
      <c r="X273" s="101"/>
      <c r="Y273" s="353"/>
    </row>
    <row r="274" spans="1:25" s="350" customFormat="1" ht="15.75" hidden="1" customHeight="1">
      <c r="A274" s="427" t="s">
        <v>707</v>
      </c>
      <c r="B274" s="423">
        <v>722</v>
      </c>
      <c r="C274" s="94">
        <f t="shared" si="17"/>
        <v>0</v>
      </c>
      <c r="D274" s="94"/>
      <c r="E274" s="420"/>
      <c r="F274" s="650">
        <v>0</v>
      </c>
      <c r="G274" s="651"/>
      <c r="H274" s="593">
        <v>0</v>
      </c>
      <c r="I274" s="98">
        <f t="shared" si="18"/>
        <v>0</v>
      </c>
      <c r="J274" s="98">
        <f t="shared" si="18"/>
        <v>0</v>
      </c>
      <c r="K274" s="96">
        <f t="shared" si="19"/>
        <v>0</v>
      </c>
      <c r="L274" s="96"/>
      <c r="M274" s="96">
        <f t="shared" si="20"/>
        <v>0</v>
      </c>
      <c r="N274" s="107">
        <f>SUMIF([1]CRJ!$H$880:$H$894,B274:B679,[1]CRJ!$J$880:$J$894)</f>
        <v>0</v>
      </c>
      <c r="O274" s="100">
        <f>SUMIF([1]CRJ!$H$880:$H$894,B274:B679,[1]CRJ!$K$880:$K$894)</f>
        <v>0</v>
      </c>
      <c r="P274" s="100">
        <f>SUMIF([1]ChkDJ!$H$849:$H$867,B274:B679,[1]ChkDJ!$J$849:$J$867)</f>
        <v>0</v>
      </c>
      <c r="Q274" s="100">
        <f>SUMIF([1]ChkDJ!$H$849:$H$867,B274:B679,[1]ChkDJ!$K$849:$K$867)</f>
        <v>0</v>
      </c>
      <c r="R274" s="100">
        <f>SUMIF([1]CDJ!$H$190:$H$197,B274:B679,[1]CDJ!$J$190:$J$197)</f>
        <v>0</v>
      </c>
      <c r="S274" s="100">
        <f>SUMIF([1]CDJ!$H$190:$H$197,B274:B679,[1]CDJ!$K$190:$K$197)</f>
        <v>0</v>
      </c>
      <c r="T274" s="102">
        <f>SUMIF([1]GL!$H$448:$H$480,B274:B684,[1]GL!$J$448:$J$487)</f>
        <v>0</v>
      </c>
      <c r="U274" s="100">
        <f>SUMIF([1]GL!$H$448:$H$480,B274:B684,[1]GL!$K$448:$K$487)</f>
        <v>0</v>
      </c>
      <c r="V274" s="102"/>
      <c r="W274" s="100"/>
      <c r="X274" s="101"/>
      <c r="Y274" s="353"/>
    </row>
    <row r="275" spans="1:25" s="105" customFormat="1" ht="15.75" hidden="1" customHeight="1">
      <c r="A275" s="93" t="s">
        <v>58</v>
      </c>
      <c r="B275" s="513">
        <v>723</v>
      </c>
      <c r="C275" s="94">
        <f t="shared" si="17"/>
        <v>0</v>
      </c>
      <c r="D275" s="94"/>
      <c r="E275" s="94"/>
      <c r="F275" s="653">
        <v>0</v>
      </c>
      <c r="G275" s="98"/>
      <c r="H275" s="96">
        <v>0</v>
      </c>
      <c r="I275" s="98">
        <f t="shared" si="18"/>
        <v>0</v>
      </c>
      <c r="J275" s="98">
        <f t="shared" si="18"/>
        <v>0</v>
      </c>
      <c r="K275" s="96">
        <f t="shared" si="19"/>
        <v>0</v>
      </c>
      <c r="L275" s="96"/>
      <c r="M275" s="96">
        <f t="shared" si="20"/>
        <v>0</v>
      </c>
      <c r="N275" s="107">
        <f>SUMIF([1]CRJ!$H$880:$H$894,B275:B680,[1]CRJ!$J$880:$J$894)</f>
        <v>0</v>
      </c>
      <c r="O275" s="100">
        <f>SUMIF([1]CRJ!$H$880:$H$894,B275:B680,[1]CRJ!$K$880:$K$894)</f>
        <v>0</v>
      </c>
      <c r="P275" s="100">
        <f>SUMIF([1]ChkDJ!$H$849:$H$867,B275:B680,[1]ChkDJ!$J$849:$J$867)</f>
        <v>0</v>
      </c>
      <c r="Q275" s="100">
        <f>SUMIF([1]ChkDJ!$H$849:$H$867,B275:B680,[1]ChkDJ!$K$849:$K$867)</f>
        <v>0</v>
      </c>
      <c r="R275" s="100">
        <f>SUMIF([1]CDJ!$H$190:$H$197,B275:B680,[1]CDJ!$J$190:$J$197)</f>
        <v>0</v>
      </c>
      <c r="S275" s="100">
        <f>SUMIF([1]CDJ!$H$190:$H$197,B275:B680,[1]CDJ!$K$190:$K$197)</f>
        <v>0</v>
      </c>
      <c r="T275" s="102">
        <f>SUMIF([1]GL!$H$448:$H$480,B275:B685,[1]GL!$J$448:$J$487)</f>
        <v>0</v>
      </c>
      <c r="U275" s="100">
        <f>SUMIF([1]GL!$H$448:$H$480,B275:B685,[1]GL!$K$448:$K$487)</f>
        <v>0</v>
      </c>
      <c r="V275" s="102"/>
      <c r="W275" s="100"/>
      <c r="X275" s="101"/>
      <c r="Y275" s="353"/>
    </row>
    <row r="276" spans="1:25" s="105" customFormat="1" ht="15.75">
      <c r="A276" s="93" t="s">
        <v>59</v>
      </c>
      <c r="B276" s="513">
        <v>724</v>
      </c>
      <c r="C276" s="94">
        <f t="shared" si="17"/>
        <v>400000</v>
      </c>
      <c r="D276" s="94"/>
      <c r="E276" s="94"/>
      <c r="F276" s="653">
        <v>400000</v>
      </c>
      <c r="G276" s="98"/>
      <c r="H276" s="96">
        <v>0</v>
      </c>
      <c r="I276" s="98">
        <f t="shared" si="18"/>
        <v>0</v>
      </c>
      <c r="J276" s="98">
        <f t="shared" si="18"/>
        <v>0</v>
      </c>
      <c r="K276" s="96">
        <f t="shared" si="19"/>
        <v>400000</v>
      </c>
      <c r="L276" s="96"/>
      <c r="M276" s="96">
        <f t="shared" si="20"/>
        <v>0</v>
      </c>
      <c r="N276" s="107">
        <f>SUMIF([1]CRJ!$H$880:$H$894,B276:B681,[1]CRJ!$J$880:$J$894)</f>
        <v>0</v>
      </c>
      <c r="O276" s="100">
        <f>SUMIF([1]CRJ!$H$880:$H$894,B276:B681,[1]CRJ!$K$880:$K$894)</f>
        <v>0</v>
      </c>
      <c r="P276" s="100">
        <f>SUMIF([1]ChkDJ!$H$849:$H$867,B276:B681,[1]ChkDJ!$J$849:$J$867)</f>
        <v>0</v>
      </c>
      <c r="Q276" s="100">
        <f>SUMIF([1]ChkDJ!$H$849:$H$867,B276:B681,[1]ChkDJ!$K$849:$K$867)</f>
        <v>0</v>
      </c>
      <c r="R276" s="100">
        <f>SUMIF([1]CDJ!$H$190:$H$197,B276:B681,[1]CDJ!$J$190:$J$197)</f>
        <v>0</v>
      </c>
      <c r="S276" s="100">
        <f>SUMIF([1]CDJ!$H$190:$H$197,B276:B681,[1]CDJ!$K$190:$K$197)</f>
        <v>0</v>
      </c>
      <c r="T276" s="102">
        <f>SUMIF([1]GL!$H$448:$H$480,B276:B686,[1]GL!$J$448:$J$487)</f>
        <v>0</v>
      </c>
      <c r="U276" s="100">
        <f>SUMIF([1]GL!$H$448:$H$480,B276:B686,[1]GL!$K$448:$K$487)</f>
        <v>0</v>
      </c>
      <c r="V276" s="102"/>
      <c r="W276" s="100"/>
      <c r="X276" s="101"/>
      <c r="Y276" s="353"/>
    </row>
    <row r="277" spans="1:25" s="105" customFormat="1" ht="15.75">
      <c r="A277" s="93" t="s">
        <v>60</v>
      </c>
      <c r="B277" s="513">
        <v>725</v>
      </c>
      <c r="C277" s="94">
        <f t="shared" si="17"/>
        <v>1314622.5</v>
      </c>
      <c r="D277" s="94"/>
      <c r="E277" s="94"/>
      <c r="F277" s="653">
        <v>1314622.5</v>
      </c>
      <c r="G277" s="98"/>
      <c r="H277" s="96">
        <v>0</v>
      </c>
      <c r="I277" s="98">
        <f t="shared" si="18"/>
        <v>0</v>
      </c>
      <c r="J277" s="98">
        <f t="shared" si="18"/>
        <v>0</v>
      </c>
      <c r="K277" s="96">
        <f t="shared" si="19"/>
        <v>1314622.5</v>
      </c>
      <c r="L277" s="96"/>
      <c r="M277" s="96">
        <f t="shared" si="20"/>
        <v>0</v>
      </c>
      <c r="N277" s="107">
        <f>SUMIF([1]CRJ!$H$880:$H$894,B277:B682,[1]CRJ!$J$880:$J$894)</f>
        <v>0</v>
      </c>
      <c r="O277" s="100">
        <f>SUMIF([1]CRJ!$H$880:$H$894,B277:B682,[1]CRJ!$K$880:$K$894)</f>
        <v>0</v>
      </c>
      <c r="P277" s="100">
        <f>SUMIF([1]ChkDJ!$H$849:$H$867,B277:B682,[1]ChkDJ!$J$849:$J$867)</f>
        <v>0</v>
      </c>
      <c r="Q277" s="100">
        <f>SUMIF([1]ChkDJ!$H$849:$H$867,B277:B682,[1]ChkDJ!$K$849:$K$867)</f>
        <v>0</v>
      </c>
      <c r="R277" s="100">
        <f>SUMIF([1]CDJ!$H$190:$H$197,B277:B682,[1]CDJ!$J$190:$J$197)</f>
        <v>0</v>
      </c>
      <c r="S277" s="100">
        <f>SUMIF([1]CDJ!$H$190:$H$197,B277:B682,[1]CDJ!$K$190:$K$197)</f>
        <v>0</v>
      </c>
      <c r="T277" s="102">
        <f>SUMIF([1]GL!$H$448:$H$480,B277:B687,[1]GL!$J$448:$J$487)</f>
        <v>0</v>
      </c>
      <c r="U277" s="100">
        <f>SUMIF([1]GL!$H$448:$H$480,B277:B687,[1]GL!$K$448:$K$487)</f>
        <v>0</v>
      </c>
      <c r="V277" s="102"/>
      <c r="W277" s="100"/>
      <c r="X277" s="101"/>
      <c r="Y277" s="353"/>
    </row>
    <row r="278" spans="1:25" s="105" customFormat="1" ht="15.75">
      <c r="A278" s="93" t="s">
        <v>61</v>
      </c>
      <c r="B278" s="513">
        <v>731</v>
      </c>
      <c r="C278" s="94">
        <f t="shared" si="17"/>
        <v>2543914.15</v>
      </c>
      <c r="D278" s="94"/>
      <c r="E278" s="94"/>
      <c r="F278" s="653">
        <v>2235343.15</v>
      </c>
      <c r="G278" s="98"/>
      <c r="H278" s="96">
        <v>0</v>
      </c>
      <c r="I278" s="98">
        <f t="shared" si="18"/>
        <v>308571.00000000006</v>
      </c>
      <c r="J278" s="98">
        <f t="shared" si="18"/>
        <v>0</v>
      </c>
      <c r="K278" s="96">
        <f t="shared" si="19"/>
        <v>2543914.15</v>
      </c>
      <c r="L278" s="96"/>
      <c r="M278" s="96">
        <f t="shared" si="20"/>
        <v>0</v>
      </c>
      <c r="N278" s="107">
        <f>SUMIF([1]CRJ!$H$880:$H$894,B278:B683,[1]CRJ!$J$880:$J$894)</f>
        <v>0</v>
      </c>
      <c r="O278" s="100">
        <f>SUMIF([1]CRJ!$H$880:$H$894,B278:B683,[1]CRJ!$K$880:$K$894)</f>
        <v>0</v>
      </c>
      <c r="P278" s="100">
        <f>SUMIF([1]ChkDJ!$H$849:$H$867,B278:B683,[1]ChkDJ!$J$849:$J$867)</f>
        <v>0</v>
      </c>
      <c r="Q278" s="100">
        <f>SUMIF([1]ChkDJ!$H$849:$H$867,B278:B683,[1]ChkDJ!$K$849:$K$867)</f>
        <v>0</v>
      </c>
      <c r="R278" s="100">
        <f>SUMIF([1]CDJ!$H$190:$H$197,B278:B683,[1]CDJ!$J$190:$J$197)</f>
        <v>0</v>
      </c>
      <c r="S278" s="100">
        <f>SUMIF([1]CDJ!$H$190:$H$197,B278:B683,[1]CDJ!$K$190:$K$197)</f>
        <v>0</v>
      </c>
      <c r="T278" s="102">
        <f>SUMIF([1]GL!$H$448:$H$480,B278:B688,[1]GL!$J$448:$J$487)</f>
        <v>308571.00000000006</v>
      </c>
      <c r="U278" s="100">
        <f>SUMIF([1]GL!$H$448:$H$480,B278:B688,[1]GL!$K$448:$K$487)</f>
        <v>0</v>
      </c>
      <c r="V278" s="102"/>
      <c r="W278" s="100"/>
      <c r="X278" s="101"/>
      <c r="Y278" s="353"/>
    </row>
    <row r="279" spans="1:25" s="105" customFormat="1" ht="15.75">
      <c r="A279" s="93" t="s">
        <v>62</v>
      </c>
      <c r="B279" s="513">
        <v>732</v>
      </c>
      <c r="C279" s="94">
        <f t="shared" si="17"/>
        <v>130500</v>
      </c>
      <c r="D279" s="94"/>
      <c r="E279" s="94"/>
      <c r="F279" s="653">
        <v>114800</v>
      </c>
      <c r="G279" s="98"/>
      <c r="H279" s="96">
        <v>0</v>
      </c>
      <c r="I279" s="98">
        <f t="shared" si="18"/>
        <v>15700</v>
      </c>
      <c r="J279" s="98">
        <f t="shared" si="18"/>
        <v>0</v>
      </c>
      <c r="K279" s="96">
        <f t="shared" si="19"/>
        <v>130500</v>
      </c>
      <c r="L279" s="96"/>
      <c r="M279" s="96">
        <f t="shared" si="20"/>
        <v>0</v>
      </c>
      <c r="N279" s="107">
        <f>SUMIF([1]CRJ!$H$880:$H$894,B279:B684,[1]CRJ!$J$880:$J$894)</f>
        <v>0</v>
      </c>
      <c r="O279" s="100">
        <f>SUMIF([1]CRJ!$H$880:$H$894,B279:B684,[1]CRJ!$K$880:$K$894)</f>
        <v>0</v>
      </c>
      <c r="P279" s="100">
        <f>SUMIF([1]ChkDJ!$H$849:$H$867,B279:B684,[1]ChkDJ!$J$849:$J$867)</f>
        <v>0</v>
      </c>
      <c r="Q279" s="100">
        <f>SUMIF([1]ChkDJ!$H$849:$H$867,B279:B684,[1]ChkDJ!$K$849:$K$867)</f>
        <v>0</v>
      </c>
      <c r="R279" s="100">
        <f>SUMIF([1]CDJ!$H$190:$H$197,B279:B684,[1]CDJ!$J$190:$J$197)</f>
        <v>0</v>
      </c>
      <c r="S279" s="100">
        <f>SUMIF([1]CDJ!$H$190:$H$197,B279:B684,[1]CDJ!$K$190:$K$197)</f>
        <v>0</v>
      </c>
      <c r="T279" s="102">
        <f>SUMIF([1]GL!$H$448:$H$480,B279:B689,[1]GL!$J$448:$J$487)</f>
        <v>15700</v>
      </c>
      <c r="U279" s="100">
        <f>SUMIF([1]GL!$H$448:$H$480,B279:B689,[1]GL!$K$448:$K$487)</f>
        <v>0</v>
      </c>
      <c r="V279" s="102"/>
      <c r="W279" s="100"/>
      <c r="X279" s="101"/>
      <c r="Y279" s="353"/>
    </row>
    <row r="280" spans="1:25" s="105" customFormat="1" ht="15.75">
      <c r="A280" s="93" t="s">
        <v>63</v>
      </c>
      <c r="B280" s="513">
        <v>733</v>
      </c>
      <c r="C280" s="94">
        <f t="shared" si="17"/>
        <v>262762.5</v>
      </c>
      <c r="D280" s="94"/>
      <c r="E280" s="94"/>
      <c r="F280" s="653">
        <v>230900</v>
      </c>
      <c r="G280" s="98"/>
      <c r="H280" s="96">
        <v>0</v>
      </c>
      <c r="I280" s="98">
        <f t="shared" si="18"/>
        <v>31862.5</v>
      </c>
      <c r="J280" s="98">
        <f t="shared" si="18"/>
        <v>0</v>
      </c>
      <c r="K280" s="96">
        <f t="shared" si="19"/>
        <v>262762.5</v>
      </c>
      <c r="L280" s="96"/>
      <c r="M280" s="96">
        <f t="shared" si="20"/>
        <v>0</v>
      </c>
      <c r="N280" s="107">
        <f>SUMIF([1]CRJ!$H$880:$H$894,B280:B685,[1]CRJ!$J$880:$J$894)</f>
        <v>0</v>
      </c>
      <c r="O280" s="100">
        <f>SUMIF([1]CRJ!$H$880:$H$894,B280:B685,[1]CRJ!$K$880:$K$894)</f>
        <v>0</v>
      </c>
      <c r="P280" s="100">
        <f>SUMIF([1]ChkDJ!$H$849:$H$867,B280:B685,[1]ChkDJ!$J$849:$J$867)</f>
        <v>0</v>
      </c>
      <c r="Q280" s="100">
        <f>SUMIF([1]ChkDJ!$H$849:$H$867,B280:B685,[1]ChkDJ!$K$849:$K$867)</f>
        <v>0</v>
      </c>
      <c r="R280" s="100">
        <f>SUMIF([1]CDJ!$H$190:$H$197,B280:B685,[1]CDJ!$J$190:$J$197)</f>
        <v>0</v>
      </c>
      <c r="S280" s="100">
        <f>SUMIF([1]CDJ!$H$190:$H$197,B280:B685,[1]CDJ!$K$190:$K$197)</f>
        <v>0</v>
      </c>
      <c r="T280" s="102">
        <f>SUMIF([1]GL!$H$448:$H$480,B280:B690,[1]GL!$J$448:$J$487)</f>
        <v>31862.5</v>
      </c>
      <c r="U280" s="100">
        <f>SUMIF([1]GL!$H$448:$H$480,B280:B690,[1]GL!$K$448:$K$487)</f>
        <v>0</v>
      </c>
      <c r="V280" s="102"/>
      <c r="W280" s="100"/>
      <c r="X280" s="101"/>
      <c r="Y280" s="353"/>
    </row>
    <row r="281" spans="1:25" s="105" customFormat="1" ht="15.75">
      <c r="A281" s="93" t="s">
        <v>64</v>
      </c>
      <c r="B281" s="513">
        <v>734</v>
      </c>
      <c r="C281" s="94">
        <f t="shared" si="17"/>
        <v>129970.53</v>
      </c>
      <c r="D281" s="94"/>
      <c r="E281" s="94"/>
      <c r="F281" s="653">
        <v>114386.64</v>
      </c>
      <c r="G281" s="98"/>
      <c r="H281" s="96">
        <v>57.28</v>
      </c>
      <c r="I281" s="98">
        <f t="shared" si="18"/>
        <v>15641.17</v>
      </c>
      <c r="J281" s="98">
        <f t="shared" si="18"/>
        <v>0</v>
      </c>
      <c r="K281" s="96">
        <f t="shared" si="19"/>
        <v>130027.81</v>
      </c>
      <c r="L281" s="96"/>
      <c r="M281" s="96">
        <f t="shared" si="20"/>
        <v>57.28</v>
      </c>
      <c r="N281" s="107">
        <f>SUMIF([1]CRJ!$H$880:$H$894,B281:B686,[1]CRJ!$J$880:$J$894)</f>
        <v>0</v>
      </c>
      <c r="O281" s="100">
        <f>SUMIF([1]CRJ!$H$880:$H$894,B281:B686,[1]CRJ!$K$880:$K$894)</f>
        <v>0</v>
      </c>
      <c r="P281" s="100">
        <f>SUMIF([1]ChkDJ!$H$849:$H$867,B281:B686,[1]ChkDJ!$J$849:$J$867)</f>
        <v>0</v>
      </c>
      <c r="Q281" s="100">
        <f>SUMIF([1]ChkDJ!$H$849:$H$867,B281:B686,[1]ChkDJ!$K$849:$K$867)</f>
        <v>0</v>
      </c>
      <c r="R281" s="100">
        <f>SUMIF([1]CDJ!$H$190:$H$197,B281:B686,[1]CDJ!$J$190:$J$197)</f>
        <v>0</v>
      </c>
      <c r="S281" s="100">
        <f>SUMIF([1]CDJ!$H$190:$H$197,B281:B686,[1]CDJ!$K$190:$K$197)</f>
        <v>0</v>
      </c>
      <c r="T281" s="102">
        <f>SUMIF([1]GL!$H$448:$H$480,B281:B691,[1]GL!$J$448:$J$487)</f>
        <v>15641.17</v>
      </c>
      <c r="U281" s="100">
        <f>SUMIF([1]GL!$H$448:$H$480,B281:B691,[1]GL!$K$448:$K$487)</f>
        <v>0</v>
      </c>
      <c r="V281" s="102"/>
      <c r="W281" s="100"/>
      <c r="X281" s="101"/>
      <c r="Y281" s="353"/>
    </row>
    <row r="282" spans="1:25" s="350" customFormat="1" ht="15.75" hidden="1" customHeight="1">
      <c r="A282" s="427" t="s">
        <v>708</v>
      </c>
      <c r="B282" s="423">
        <v>738</v>
      </c>
      <c r="C282" s="94">
        <f t="shared" si="17"/>
        <v>0</v>
      </c>
      <c r="D282" s="94"/>
      <c r="E282" s="420"/>
      <c r="F282" s="650">
        <v>0</v>
      </c>
      <c r="G282" s="651"/>
      <c r="H282" s="593">
        <v>0</v>
      </c>
      <c r="I282" s="98">
        <f t="shared" si="18"/>
        <v>0</v>
      </c>
      <c r="J282" s="98">
        <f t="shared" si="18"/>
        <v>0</v>
      </c>
      <c r="K282" s="96">
        <f t="shared" si="19"/>
        <v>0</v>
      </c>
      <c r="L282" s="96"/>
      <c r="M282" s="96">
        <f t="shared" si="20"/>
        <v>0</v>
      </c>
      <c r="N282" s="107">
        <f>SUMIF([1]CRJ!$H$880:$H$894,B282:B687,[1]CRJ!$J$880:$J$894)</f>
        <v>0</v>
      </c>
      <c r="O282" s="100">
        <f>SUMIF([1]CRJ!$H$880:$H$894,B282:B687,[1]CRJ!$K$880:$K$894)</f>
        <v>0</v>
      </c>
      <c r="P282" s="100">
        <f>SUMIF([1]ChkDJ!$H$849:$H$867,B282:B687,[1]ChkDJ!$J$849:$J$867)</f>
        <v>0</v>
      </c>
      <c r="Q282" s="100">
        <f>SUMIF([1]ChkDJ!$H$849:$H$867,B282:B687,[1]ChkDJ!$K$849:$K$867)</f>
        <v>0</v>
      </c>
      <c r="R282" s="100">
        <f>SUMIF([1]CDJ!$H$190:$H$197,B282:B687,[1]CDJ!$J$190:$J$197)</f>
        <v>0</v>
      </c>
      <c r="S282" s="100">
        <f>SUMIF([1]CDJ!$H$190:$H$197,B282:B687,[1]CDJ!$K$190:$K$197)</f>
        <v>0</v>
      </c>
      <c r="T282" s="102">
        <f>SUMIF([1]GL!$H$448:$H$480,B282:B692,[1]GL!$J$448:$J$487)</f>
        <v>0</v>
      </c>
      <c r="U282" s="100">
        <f>SUMIF([1]GL!$H$448:$H$480,B282:B692,[1]GL!$K$448:$K$487)</f>
        <v>0</v>
      </c>
      <c r="V282" s="102"/>
      <c r="W282" s="100"/>
      <c r="X282" s="101"/>
      <c r="Y282" s="353"/>
    </row>
    <row r="283" spans="1:25" s="350" customFormat="1" ht="15.75" hidden="1" customHeight="1">
      <c r="A283" s="427" t="s">
        <v>709</v>
      </c>
      <c r="B283" s="423">
        <v>740</v>
      </c>
      <c r="C283" s="94">
        <f t="shared" si="17"/>
        <v>0</v>
      </c>
      <c r="D283" s="94"/>
      <c r="E283" s="420"/>
      <c r="F283" s="650">
        <v>0</v>
      </c>
      <c r="G283" s="651"/>
      <c r="H283" s="593">
        <v>0</v>
      </c>
      <c r="I283" s="98">
        <f t="shared" si="18"/>
        <v>0</v>
      </c>
      <c r="J283" s="98">
        <f t="shared" si="18"/>
        <v>0</v>
      </c>
      <c r="K283" s="96">
        <f t="shared" si="19"/>
        <v>0</v>
      </c>
      <c r="L283" s="96"/>
      <c r="M283" s="96">
        <f t="shared" si="20"/>
        <v>0</v>
      </c>
      <c r="N283" s="107">
        <f>SUMIF([1]CRJ!$H$880:$H$894,B283:B688,[1]CRJ!$J$880:$J$894)</f>
        <v>0</v>
      </c>
      <c r="O283" s="100">
        <f>SUMIF([1]CRJ!$H$880:$H$894,B283:B688,[1]CRJ!$K$880:$K$894)</f>
        <v>0</v>
      </c>
      <c r="P283" s="100">
        <f>SUMIF([1]ChkDJ!$H$849:$H$867,B283:B688,[1]ChkDJ!$J$849:$J$867)</f>
        <v>0</v>
      </c>
      <c r="Q283" s="100">
        <f>SUMIF([1]ChkDJ!$H$849:$H$867,B283:B688,[1]ChkDJ!$K$849:$K$867)</f>
        <v>0</v>
      </c>
      <c r="R283" s="100">
        <f>SUMIF([1]CDJ!$H$190:$H$197,B283:B688,[1]CDJ!$J$190:$J$197)</f>
        <v>0</v>
      </c>
      <c r="S283" s="100">
        <f>SUMIF([1]CDJ!$H$190:$H$197,B283:B688,[1]CDJ!$K$190:$K$197)</f>
        <v>0</v>
      </c>
      <c r="T283" s="102">
        <f>SUMIF([1]GL!$H$448:$H$480,B283:B693,[1]GL!$J$448:$J$487)</f>
        <v>0</v>
      </c>
      <c r="U283" s="100">
        <f>SUMIF([1]GL!$H$448:$H$480,B283:B693,[1]GL!$K$448:$K$487)</f>
        <v>0</v>
      </c>
      <c r="V283" s="102"/>
      <c r="W283" s="100"/>
      <c r="X283" s="101"/>
      <c r="Y283" s="353"/>
    </row>
    <row r="284" spans="1:25" s="105" customFormat="1" ht="15.75" hidden="1" customHeight="1">
      <c r="A284" s="93" t="s">
        <v>65</v>
      </c>
      <c r="B284" s="513">
        <v>742</v>
      </c>
      <c r="C284" s="94">
        <f t="shared" si="17"/>
        <v>0</v>
      </c>
      <c r="D284" s="94"/>
      <c r="E284" s="94"/>
      <c r="F284" s="653">
        <v>0</v>
      </c>
      <c r="G284" s="98"/>
      <c r="H284" s="96">
        <v>0</v>
      </c>
      <c r="I284" s="98">
        <f t="shared" si="18"/>
        <v>0</v>
      </c>
      <c r="J284" s="98">
        <f t="shared" si="18"/>
        <v>0</v>
      </c>
      <c r="K284" s="96">
        <f t="shared" si="19"/>
        <v>0</v>
      </c>
      <c r="L284" s="96"/>
      <c r="M284" s="96">
        <f t="shared" si="20"/>
        <v>0</v>
      </c>
      <c r="N284" s="107">
        <f>SUMIF([1]CRJ!$H$880:$H$894,B284:B689,[1]CRJ!$J$880:$J$894)</f>
        <v>0</v>
      </c>
      <c r="O284" s="100">
        <f>SUMIF([1]CRJ!$H$880:$H$894,B284:B689,[1]CRJ!$K$880:$K$894)</f>
        <v>0</v>
      </c>
      <c r="P284" s="100">
        <f>SUMIF([1]ChkDJ!$H$849:$H$867,B284:B689,[1]ChkDJ!$J$849:$J$867)</f>
        <v>0</v>
      </c>
      <c r="Q284" s="100">
        <f>SUMIF([1]ChkDJ!$H$849:$H$867,B284:B689,[1]ChkDJ!$K$849:$K$867)</f>
        <v>0</v>
      </c>
      <c r="R284" s="100">
        <f>SUMIF([1]CDJ!$H$190:$H$197,B284:B689,[1]CDJ!$J$190:$J$197)</f>
        <v>0</v>
      </c>
      <c r="S284" s="100">
        <f>SUMIF([1]CDJ!$H$190:$H$197,B284:B689,[1]CDJ!$K$190:$K$197)</f>
        <v>0</v>
      </c>
      <c r="T284" s="102">
        <f>SUMIF([1]GL!$H$448:$H$480,B284:B694,[1]GL!$J$448:$J$487)</f>
        <v>0</v>
      </c>
      <c r="U284" s="100">
        <f>SUMIF([1]GL!$H$448:$H$480,B284:B694,[1]GL!$K$448:$K$487)</f>
        <v>0</v>
      </c>
      <c r="V284" s="102"/>
      <c r="W284" s="100"/>
      <c r="X284" s="101"/>
      <c r="Y284" s="353"/>
    </row>
    <row r="285" spans="1:25" s="350" customFormat="1" ht="15.75" hidden="1" customHeight="1">
      <c r="A285" s="427" t="s">
        <v>710</v>
      </c>
      <c r="B285" s="423">
        <v>743</v>
      </c>
      <c r="C285" s="94">
        <f t="shared" si="17"/>
        <v>0</v>
      </c>
      <c r="D285" s="94"/>
      <c r="E285" s="420"/>
      <c r="F285" s="650">
        <v>0</v>
      </c>
      <c r="G285" s="651"/>
      <c r="H285" s="593">
        <v>0</v>
      </c>
      <c r="I285" s="98">
        <f t="shared" si="18"/>
        <v>0</v>
      </c>
      <c r="J285" s="98">
        <f t="shared" si="18"/>
        <v>0</v>
      </c>
      <c r="K285" s="96">
        <f t="shared" si="19"/>
        <v>0</v>
      </c>
      <c r="L285" s="96"/>
      <c r="M285" s="96">
        <f t="shared" si="20"/>
        <v>0</v>
      </c>
      <c r="N285" s="107">
        <f>SUMIF([1]CRJ!$H$880:$H$894,B285:B690,[1]CRJ!$J$880:$J$894)</f>
        <v>0</v>
      </c>
      <c r="O285" s="100">
        <f>SUMIF([1]CRJ!$H$880:$H$894,B285:B690,[1]CRJ!$K$880:$K$894)</f>
        <v>0</v>
      </c>
      <c r="P285" s="100">
        <f>SUMIF([1]ChkDJ!$H$849:$H$867,B285:B690,[1]ChkDJ!$J$849:$J$867)</f>
        <v>0</v>
      </c>
      <c r="Q285" s="100">
        <f>SUMIF([1]ChkDJ!$H$849:$H$867,B285:B690,[1]ChkDJ!$K$849:$K$867)</f>
        <v>0</v>
      </c>
      <c r="R285" s="100">
        <f>SUMIF([1]CDJ!$H$190:$H$197,B285:B690,[1]CDJ!$J$190:$J$197)</f>
        <v>0</v>
      </c>
      <c r="S285" s="100">
        <f>SUMIF([1]CDJ!$H$190:$H$197,B285:B690,[1]CDJ!$K$190:$K$197)</f>
        <v>0</v>
      </c>
      <c r="T285" s="102">
        <f>SUMIF([1]GL!$H$448:$H$480,B285:B695,[1]GL!$J$448:$J$487)</f>
        <v>0</v>
      </c>
      <c r="U285" s="100">
        <f>SUMIF([1]GL!$H$448:$H$480,B285:B695,[1]GL!$K$448:$K$487)</f>
        <v>0</v>
      </c>
      <c r="V285" s="102"/>
      <c r="W285" s="100"/>
      <c r="X285" s="101"/>
      <c r="Y285" s="353"/>
    </row>
    <row r="286" spans="1:25" s="105" customFormat="1" ht="15.75" hidden="1">
      <c r="A286" s="93" t="s">
        <v>66</v>
      </c>
      <c r="B286" s="513">
        <v>749</v>
      </c>
      <c r="C286" s="94">
        <f t="shared" si="17"/>
        <v>0</v>
      </c>
      <c r="D286" s="94"/>
      <c r="E286" s="94"/>
      <c r="F286" s="653">
        <v>0</v>
      </c>
      <c r="G286" s="98"/>
      <c r="H286" s="96">
        <v>0</v>
      </c>
      <c r="I286" s="98">
        <f t="shared" si="18"/>
        <v>0</v>
      </c>
      <c r="J286" s="98">
        <f t="shared" si="18"/>
        <v>0</v>
      </c>
      <c r="K286" s="96">
        <f t="shared" si="19"/>
        <v>0</v>
      </c>
      <c r="L286" s="96"/>
      <c r="M286" s="96">
        <f t="shared" si="20"/>
        <v>0</v>
      </c>
      <c r="N286" s="107">
        <f>SUMIF([1]CRJ!$H$880:$H$894,B286:B691,[1]CRJ!$J$880:$J$894)</f>
        <v>0</v>
      </c>
      <c r="O286" s="100">
        <f>SUMIF([1]CRJ!$H$880:$H$894,B286:B691,[1]CRJ!$K$880:$K$894)</f>
        <v>0</v>
      </c>
      <c r="P286" s="100">
        <f>SUMIF([1]ChkDJ!$H$849:$H$867,B286:B691,[1]ChkDJ!$J$849:$J$867)</f>
        <v>0</v>
      </c>
      <c r="Q286" s="100">
        <f>SUMIF([1]ChkDJ!$H$849:$H$867,B286:B691,[1]ChkDJ!$K$849:$K$867)</f>
        <v>0</v>
      </c>
      <c r="R286" s="100">
        <f>SUMIF([1]CDJ!$H$190:$H$197,B286:B691,[1]CDJ!$J$190:$J$197)</f>
        <v>0</v>
      </c>
      <c r="S286" s="100">
        <f>SUMIF([1]CDJ!$H$190:$H$197,B286:B691,[1]CDJ!$K$190:$K$197)</f>
        <v>0</v>
      </c>
      <c r="T286" s="102">
        <f>SUMIF([1]GL!$H$448:$H$480,B286:B696,[1]GL!$J$448:$J$487)</f>
        <v>0</v>
      </c>
      <c r="U286" s="100">
        <f>SUMIF([1]GL!$H$448:$H$480,B286:B696,[1]GL!$K$448:$K$487)</f>
        <v>0</v>
      </c>
      <c r="V286" s="102"/>
      <c r="W286" s="100"/>
      <c r="X286" s="101"/>
      <c r="Y286" s="353"/>
    </row>
    <row r="287" spans="1:25" s="105" customFormat="1" ht="15.75">
      <c r="A287" s="93" t="s">
        <v>213</v>
      </c>
      <c r="B287" s="513">
        <v>751</v>
      </c>
      <c r="C287" s="94">
        <f t="shared" si="17"/>
        <v>2961197.5</v>
      </c>
      <c r="D287" s="94"/>
      <c r="E287" s="94"/>
      <c r="F287" s="653">
        <v>425884.26</v>
      </c>
      <c r="G287" s="98"/>
      <c r="H287" s="96">
        <v>0</v>
      </c>
      <c r="I287" s="98">
        <f t="shared" si="18"/>
        <v>2535313.2400000002</v>
      </c>
      <c r="J287" s="98">
        <f t="shared" si="18"/>
        <v>0</v>
      </c>
      <c r="K287" s="96">
        <f t="shared" si="19"/>
        <v>2961197.5</v>
      </c>
      <c r="L287" s="96"/>
      <c r="M287" s="96">
        <f t="shared" si="20"/>
        <v>0</v>
      </c>
      <c r="N287" s="107">
        <f>SUMIF([1]CRJ!$H$880:$H$894,B287:B692,[1]CRJ!$J$880:$J$894)</f>
        <v>0</v>
      </c>
      <c r="O287" s="100">
        <f>SUMIF([1]CRJ!$H$880:$H$894,B287:B692,[1]CRJ!$K$880:$K$894)</f>
        <v>0</v>
      </c>
      <c r="P287" s="100">
        <f>SUMIF([1]ChkDJ!$H$849:$H$867,B287:B692,[1]ChkDJ!$J$849:$J$867)</f>
        <v>7931</v>
      </c>
      <c r="Q287" s="100">
        <f>SUMIF([1]ChkDJ!$H$849:$H$867,B287:B692,[1]ChkDJ!$K$849:$K$867)</f>
        <v>0</v>
      </c>
      <c r="R287" s="100">
        <f>SUMIF([1]CDJ!$H$190:$H$197,B287:B692,[1]CDJ!$J$190:$J$197)</f>
        <v>2527382.2400000002</v>
      </c>
      <c r="S287" s="100">
        <f>SUMIF([1]CDJ!$H$190:$H$197,B287:B692,[1]CDJ!$K$190:$K$197)</f>
        <v>0</v>
      </c>
      <c r="T287" s="102">
        <f>SUMIF([1]GL!$H$448:$H$480,B287:B697,[1]GL!$J$448:$J$487)</f>
        <v>0</v>
      </c>
      <c r="U287" s="100">
        <f>SUMIF([1]GL!$H$448:$H$480,B287:B697,[1]GL!$K$448:$K$487)</f>
        <v>0</v>
      </c>
      <c r="V287" s="102"/>
      <c r="W287" s="100"/>
      <c r="X287" s="101"/>
      <c r="Y287" s="353"/>
    </row>
    <row r="288" spans="1:25" s="105" customFormat="1" ht="15.75" hidden="1" customHeight="1">
      <c r="A288" s="93" t="s">
        <v>67</v>
      </c>
      <c r="B288" s="513">
        <v>752</v>
      </c>
      <c r="C288" s="94">
        <f t="shared" si="17"/>
        <v>0</v>
      </c>
      <c r="D288" s="94"/>
      <c r="E288" s="94"/>
      <c r="F288" s="653">
        <v>0</v>
      </c>
      <c r="G288" s="98"/>
      <c r="H288" s="96">
        <v>0</v>
      </c>
      <c r="I288" s="98">
        <f t="shared" si="18"/>
        <v>0</v>
      </c>
      <c r="J288" s="98">
        <f t="shared" si="18"/>
        <v>0</v>
      </c>
      <c r="K288" s="96">
        <f t="shared" si="19"/>
        <v>0</v>
      </c>
      <c r="L288" s="96"/>
      <c r="M288" s="96">
        <f t="shared" si="20"/>
        <v>0</v>
      </c>
      <c r="N288" s="107">
        <f>SUMIF([1]CRJ!$H$880:$H$894,B288:B693,[1]CRJ!$J$880:$J$894)</f>
        <v>0</v>
      </c>
      <c r="O288" s="100">
        <f>SUMIF([1]CRJ!$H$880:$H$894,B288:B693,[1]CRJ!$K$880:$K$894)</f>
        <v>0</v>
      </c>
      <c r="P288" s="100">
        <f>SUMIF([1]ChkDJ!$H$849:$H$867,B288:B693,[1]ChkDJ!$J$849:$J$867)</f>
        <v>0</v>
      </c>
      <c r="Q288" s="100">
        <f>SUMIF([1]ChkDJ!$H$849:$H$867,B288:B693,[1]ChkDJ!$K$849:$K$867)</f>
        <v>0</v>
      </c>
      <c r="R288" s="100">
        <f>SUMIF([1]CDJ!$H$190:$H$197,B288:B693,[1]CDJ!$J$190:$J$197)</f>
        <v>0</v>
      </c>
      <c r="S288" s="100">
        <f>SUMIF([1]CDJ!$H$190:$H$197,B288:B693,[1]CDJ!$K$190:$K$197)</f>
        <v>0</v>
      </c>
      <c r="T288" s="102">
        <f>SUMIF([1]GL!$H$448:$H$480,B288:B698,[1]GL!$J$448:$J$487)</f>
        <v>0</v>
      </c>
      <c r="U288" s="100">
        <f>SUMIF([1]GL!$H$448:$H$480,B288:B698,[1]GL!$K$448:$K$487)</f>
        <v>0</v>
      </c>
      <c r="V288" s="102"/>
      <c r="W288" s="100"/>
      <c r="X288" s="101"/>
      <c r="Y288" s="353"/>
    </row>
    <row r="289" spans="1:25" s="105" customFormat="1" ht="15.75">
      <c r="A289" s="93" t="s">
        <v>68</v>
      </c>
      <c r="B289" s="513">
        <v>753</v>
      </c>
      <c r="C289" s="94">
        <f t="shared" si="17"/>
        <v>282900</v>
      </c>
      <c r="D289" s="94"/>
      <c r="E289" s="94"/>
      <c r="F289" s="653">
        <v>40500</v>
      </c>
      <c r="G289" s="98"/>
      <c r="H289" s="96">
        <v>0</v>
      </c>
      <c r="I289" s="98">
        <f t="shared" si="18"/>
        <v>242400</v>
      </c>
      <c r="J289" s="98">
        <f t="shared" si="18"/>
        <v>0</v>
      </c>
      <c r="K289" s="96">
        <f t="shared" si="19"/>
        <v>282900</v>
      </c>
      <c r="L289" s="96"/>
      <c r="M289" s="96">
        <f t="shared" si="20"/>
        <v>0</v>
      </c>
      <c r="N289" s="107">
        <f>SUMIF([1]CRJ!$H$880:$H$894,B289:B694,[1]CRJ!$J$880:$J$894)</f>
        <v>0</v>
      </c>
      <c r="O289" s="100">
        <f>SUMIF([1]CRJ!$H$880:$H$894,B289:B694,[1]CRJ!$K$880:$K$894)</f>
        <v>0</v>
      </c>
      <c r="P289" s="100">
        <f>SUMIF([1]ChkDJ!$H$849:$H$867,B289:B694,[1]ChkDJ!$J$849:$J$867)</f>
        <v>2400</v>
      </c>
      <c r="Q289" s="100">
        <f>SUMIF([1]ChkDJ!$H$849:$H$867,B289:B694,[1]ChkDJ!$K$849:$K$867)</f>
        <v>0</v>
      </c>
      <c r="R289" s="100">
        <f>SUMIF([1]CDJ!$H$190:$H$197,B289:B694,[1]CDJ!$J$190:$J$197)</f>
        <v>240000</v>
      </c>
      <c r="S289" s="100">
        <f>SUMIF([1]CDJ!$H$190:$H$197,B289:B694,[1]CDJ!$K$190:$K$197)</f>
        <v>0</v>
      </c>
      <c r="T289" s="102">
        <f>SUMIF([1]GL!$H$448:$H$480,B289:B699,[1]GL!$J$448:$J$487)</f>
        <v>0</v>
      </c>
      <c r="U289" s="100">
        <f>SUMIF([1]GL!$H$448:$H$480,B289:B699,[1]GL!$K$448:$K$487)</f>
        <v>0</v>
      </c>
      <c r="V289" s="102"/>
      <c r="W289" s="100"/>
      <c r="X289" s="101"/>
      <c r="Y289" s="353"/>
    </row>
    <row r="290" spans="1:25" s="350" customFormat="1" ht="15.75" hidden="1" customHeight="1">
      <c r="A290" s="427" t="s">
        <v>711</v>
      </c>
      <c r="B290" s="423">
        <v>754</v>
      </c>
      <c r="C290" s="94">
        <f t="shared" si="17"/>
        <v>0</v>
      </c>
      <c r="D290" s="94"/>
      <c r="E290" s="420"/>
      <c r="F290" s="650">
        <v>0</v>
      </c>
      <c r="G290" s="651"/>
      <c r="H290" s="593">
        <v>0</v>
      </c>
      <c r="I290" s="98">
        <f t="shared" si="18"/>
        <v>0</v>
      </c>
      <c r="J290" s="98">
        <f t="shared" si="18"/>
        <v>0</v>
      </c>
      <c r="K290" s="96">
        <f t="shared" si="19"/>
        <v>0</v>
      </c>
      <c r="L290" s="96"/>
      <c r="M290" s="96">
        <f t="shared" si="20"/>
        <v>0</v>
      </c>
      <c r="N290" s="107">
        <f>SUMIF([1]CRJ!$H$880:$H$894,B290:B695,[1]CRJ!$J$880:$J$894)</f>
        <v>0</v>
      </c>
      <c r="O290" s="100">
        <f>SUMIF([1]CRJ!$H$880:$H$894,B290:B695,[1]CRJ!$K$880:$K$894)</f>
        <v>0</v>
      </c>
      <c r="P290" s="100">
        <f>SUMIF([1]ChkDJ!$H$849:$H$867,B290:B695,[1]ChkDJ!$J$849:$J$867)</f>
        <v>0</v>
      </c>
      <c r="Q290" s="100">
        <f>SUMIF([1]ChkDJ!$H$849:$H$867,B290:B695,[1]ChkDJ!$K$849:$K$867)</f>
        <v>0</v>
      </c>
      <c r="R290" s="100">
        <f>SUMIF([1]CDJ!$H$190:$H$197,B290:B695,[1]CDJ!$J$190:$J$197)</f>
        <v>0</v>
      </c>
      <c r="S290" s="100">
        <f>SUMIF([1]CDJ!$H$190:$H$197,B290:B695,[1]CDJ!$K$190:$K$197)</f>
        <v>0</v>
      </c>
      <c r="T290" s="102">
        <f>SUMIF([1]GL!$H$448:$H$480,B290:B700,[1]GL!$J$448:$J$487)</f>
        <v>0</v>
      </c>
      <c r="U290" s="100">
        <f>SUMIF([1]GL!$H$448:$H$480,B290:B700,[1]GL!$K$448:$K$487)</f>
        <v>0</v>
      </c>
      <c r="V290" s="102"/>
      <c r="W290" s="100"/>
      <c r="X290" s="101"/>
      <c r="Y290" s="353"/>
    </row>
    <row r="291" spans="1:25" s="105" customFormat="1" ht="15.75">
      <c r="A291" s="93" t="s">
        <v>215</v>
      </c>
      <c r="B291" s="514">
        <v>755</v>
      </c>
      <c r="C291" s="94">
        <f t="shared" si="17"/>
        <v>24379.5</v>
      </c>
      <c r="D291" s="94"/>
      <c r="E291" s="94"/>
      <c r="F291" s="653">
        <v>0</v>
      </c>
      <c r="G291" s="98"/>
      <c r="H291" s="96">
        <v>0</v>
      </c>
      <c r="I291" s="98">
        <f t="shared" si="18"/>
        <v>24379.5</v>
      </c>
      <c r="J291" s="98">
        <f t="shared" si="18"/>
        <v>0</v>
      </c>
      <c r="K291" s="96">
        <f t="shared" si="19"/>
        <v>24379.5</v>
      </c>
      <c r="L291" s="96"/>
      <c r="M291" s="96">
        <f t="shared" si="20"/>
        <v>0</v>
      </c>
      <c r="N291" s="107">
        <f>SUMIF([1]CRJ!$H$880:$H$894,B291:B696,[1]CRJ!$J$880:$J$894)</f>
        <v>0</v>
      </c>
      <c r="O291" s="100">
        <f>SUMIF([1]CRJ!$H$880:$H$894,B291:B696,[1]CRJ!$K$880:$K$894)</f>
        <v>0</v>
      </c>
      <c r="P291" s="100">
        <f>SUMIF([1]ChkDJ!$H$849:$H$867,B291:B696,[1]ChkDJ!$J$849:$J$867)</f>
        <v>24379.5</v>
      </c>
      <c r="Q291" s="100">
        <f>SUMIF([1]ChkDJ!$H$849:$H$867,B291:B696,[1]ChkDJ!$K$849:$K$867)</f>
        <v>0</v>
      </c>
      <c r="R291" s="100">
        <f>SUMIF([1]CDJ!$H$190:$H$197,B291:B696,[1]CDJ!$J$190:$J$197)</f>
        <v>0</v>
      </c>
      <c r="S291" s="100">
        <f>SUMIF([1]CDJ!$H$190:$H$197,B291:B696,[1]CDJ!$K$190:$K$197)</f>
        <v>0</v>
      </c>
      <c r="T291" s="102">
        <f>SUMIF([1]GL!$H$448:$H$480,B291:B701,[1]GL!$J$448:$J$487)</f>
        <v>0</v>
      </c>
      <c r="U291" s="100">
        <f>SUMIF([1]GL!$H$448:$H$480,B291:B701,[1]GL!$K$448:$K$487)</f>
        <v>0</v>
      </c>
      <c r="V291" s="102"/>
      <c r="W291" s="100"/>
      <c r="X291" s="101"/>
      <c r="Y291" s="353"/>
    </row>
    <row r="292" spans="1:25" s="350" customFormat="1" ht="15.75" hidden="1" customHeight="1">
      <c r="A292" s="428" t="s">
        <v>712</v>
      </c>
      <c r="B292" s="423">
        <v>756</v>
      </c>
      <c r="C292" s="94">
        <f t="shared" si="17"/>
        <v>0</v>
      </c>
      <c r="D292" s="94"/>
      <c r="E292" s="420"/>
      <c r="F292" s="650">
        <v>0</v>
      </c>
      <c r="G292" s="651"/>
      <c r="H292" s="593">
        <v>0</v>
      </c>
      <c r="I292" s="98">
        <f t="shared" si="18"/>
        <v>0</v>
      </c>
      <c r="J292" s="98">
        <f t="shared" si="18"/>
        <v>0</v>
      </c>
      <c r="K292" s="96">
        <f t="shared" si="19"/>
        <v>0</v>
      </c>
      <c r="L292" s="96"/>
      <c r="M292" s="96">
        <f t="shared" si="20"/>
        <v>0</v>
      </c>
      <c r="N292" s="107">
        <f>SUMIF([1]CRJ!$H$880:$H$894,B292:B697,[1]CRJ!$J$880:$J$894)</f>
        <v>0</v>
      </c>
      <c r="O292" s="100">
        <f>SUMIF([1]CRJ!$H$880:$H$894,B292:B697,[1]CRJ!$K$880:$K$894)</f>
        <v>0</v>
      </c>
      <c r="P292" s="100">
        <f>SUMIF([1]ChkDJ!$H$849:$H$867,B292:B697,[1]ChkDJ!$J$849:$J$867)</f>
        <v>0</v>
      </c>
      <c r="Q292" s="100">
        <f>SUMIF([1]ChkDJ!$H$849:$H$867,B292:B697,[1]ChkDJ!$K$849:$K$867)</f>
        <v>0</v>
      </c>
      <c r="R292" s="100">
        <f>SUMIF([1]CDJ!$H$190:$H$197,B292:B697,[1]CDJ!$J$190:$J$197)</f>
        <v>0</v>
      </c>
      <c r="S292" s="100">
        <f>SUMIF([1]CDJ!$H$190:$H$197,B292:B697,[1]CDJ!$K$190:$K$197)</f>
        <v>0</v>
      </c>
      <c r="T292" s="102">
        <f>SUMIF([1]GL!$H$448:$H$480,B292:B702,[1]GL!$J$448:$J$487)</f>
        <v>0</v>
      </c>
      <c r="U292" s="100">
        <f>SUMIF([1]GL!$H$448:$H$480,B292:B702,[1]GL!$K$448:$K$487)</f>
        <v>0</v>
      </c>
      <c r="V292" s="102"/>
      <c r="W292" s="100"/>
      <c r="X292" s="101"/>
      <c r="Y292" s="353"/>
    </row>
    <row r="293" spans="1:25" s="350" customFormat="1" ht="15.75" hidden="1" customHeight="1">
      <c r="A293" s="428" t="s">
        <v>713</v>
      </c>
      <c r="B293" s="423">
        <v>757</v>
      </c>
      <c r="C293" s="94">
        <f t="shared" si="17"/>
        <v>0</v>
      </c>
      <c r="D293" s="94"/>
      <c r="E293" s="420"/>
      <c r="F293" s="650">
        <v>0</v>
      </c>
      <c r="G293" s="651"/>
      <c r="H293" s="593">
        <v>0</v>
      </c>
      <c r="I293" s="98">
        <f t="shared" si="18"/>
        <v>0</v>
      </c>
      <c r="J293" s="98">
        <f t="shared" si="18"/>
        <v>0</v>
      </c>
      <c r="K293" s="96">
        <f t="shared" si="19"/>
        <v>0</v>
      </c>
      <c r="L293" s="96"/>
      <c r="M293" s="96">
        <f t="shared" si="20"/>
        <v>0</v>
      </c>
      <c r="N293" s="107">
        <f>SUMIF([1]CRJ!$H$880:$H$894,B293:B698,[1]CRJ!$J$880:$J$894)</f>
        <v>0</v>
      </c>
      <c r="O293" s="100">
        <f>SUMIF([1]CRJ!$H$880:$H$894,B293:B698,[1]CRJ!$K$880:$K$894)</f>
        <v>0</v>
      </c>
      <c r="P293" s="100">
        <f>SUMIF([1]ChkDJ!$H$849:$H$867,B293:B698,[1]ChkDJ!$J$849:$J$867)</f>
        <v>0</v>
      </c>
      <c r="Q293" s="100">
        <f>SUMIF([1]ChkDJ!$H$849:$H$867,B293:B698,[1]ChkDJ!$K$849:$K$867)</f>
        <v>0</v>
      </c>
      <c r="R293" s="100">
        <f>SUMIF([1]CDJ!$H$190:$H$197,B293:B698,[1]CDJ!$J$190:$J$197)</f>
        <v>0</v>
      </c>
      <c r="S293" s="100">
        <f>SUMIF([1]CDJ!$H$190:$H$197,B293:B698,[1]CDJ!$K$190:$K$197)</f>
        <v>0</v>
      </c>
      <c r="T293" s="102">
        <f>SUMIF([1]GL!$H$448:$H$480,B293:B703,[1]GL!$J$448:$J$487)</f>
        <v>0</v>
      </c>
      <c r="U293" s="100">
        <f>SUMIF([1]GL!$H$448:$H$480,B293:B703,[1]GL!$K$448:$K$487)</f>
        <v>0</v>
      </c>
      <c r="V293" s="102"/>
      <c r="W293" s="100"/>
      <c r="X293" s="101"/>
      <c r="Y293" s="353"/>
    </row>
    <row r="294" spans="1:25" s="105" customFormat="1" ht="15.75" customHeight="1">
      <c r="A294" s="93" t="s">
        <v>98</v>
      </c>
      <c r="B294" s="513">
        <v>758</v>
      </c>
      <c r="C294" s="94">
        <f t="shared" si="17"/>
        <v>1890099.9</v>
      </c>
      <c r="D294" s="94"/>
      <c r="E294" s="94"/>
      <c r="F294" s="653">
        <v>0</v>
      </c>
      <c r="G294" s="98"/>
      <c r="H294" s="96">
        <v>0</v>
      </c>
      <c r="I294" s="98">
        <f t="shared" si="18"/>
        <v>1890099.9</v>
      </c>
      <c r="J294" s="98">
        <f t="shared" si="18"/>
        <v>0</v>
      </c>
      <c r="K294" s="96">
        <f t="shared" si="19"/>
        <v>1890099.9</v>
      </c>
      <c r="L294" s="96"/>
      <c r="M294" s="96">
        <f t="shared" si="20"/>
        <v>0</v>
      </c>
      <c r="N294" s="107">
        <f>SUMIF([1]CRJ!$H$880:$H$894,B294:B699,[1]CRJ!$J$880:$J$894)</f>
        <v>0</v>
      </c>
      <c r="O294" s="100">
        <f>SUMIF([1]CRJ!$H$880:$H$894,B294:B699,[1]CRJ!$K$880:$K$894)</f>
        <v>0</v>
      </c>
      <c r="P294" s="100">
        <f>SUMIF([1]ChkDJ!$H$849:$H$867,B294:B699,[1]ChkDJ!$J$849:$J$867)</f>
        <v>0</v>
      </c>
      <c r="Q294" s="100">
        <f>SUMIF([1]ChkDJ!$H$849:$H$867,B294:B699,[1]ChkDJ!$K$849:$K$867)</f>
        <v>0</v>
      </c>
      <c r="R294" s="100">
        <f>SUMIF([1]CDJ!$H$190:$H$197,B294:B699,[1]CDJ!$J$190:$J$197)</f>
        <v>1890099.9</v>
      </c>
      <c r="S294" s="100">
        <f>SUMIF([1]CDJ!$H$190:$H$197,B294:B699,[1]CDJ!$K$190:$K$197)</f>
        <v>0</v>
      </c>
      <c r="T294" s="102">
        <f>SUMIF([1]GL!$H$448:$H$480,B294:B704,[1]GL!$J$448:$J$487)</f>
        <v>0</v>
      </c>
      <c r="U294" s="100">
        <f>SUMIF([1]GL!$H$448:$H$480,B294:B704,[1]GL!$K$448:$K$487)</f>
        <v>0</v>
      </c>
      <c r="V294" s="102"/>
      <c r="W294" s="100"/>
      <c r="X294" s="101"/>
      <c r="Y294" s="353"/>
    </row>
    <row r="295" spans="1:25" s="105" customFormat="1" ht="15.75">
      <c r="A295" s="93" t="s">
        <v>270</v>
      </c>
      <c r="B295" s="513">
        <v>759</v>
      </c>
      <c r="C295" s="94">
        <f t="shared" si="17"/>
        <v>9771.5</v>
      </c>
      <c r="D295" s="94"/>
      <c r="E295" s="94"/>
      <c r="F295" s="653">
        <v>9771.5</v>
      </c>
      <c r="G295" s="98"/>
      <c r="H295" s="96">
        <v>0</v>
      </c>
      <c r="I295" s="98">
        <f t="shared" si="18"/>
        <v>0</v>
      </c>
      <c r="J295" s="98">
        <f t="shared" si="18"/>
        <v>0</v>
      </c>
      <c r="K295" s="96">
        <f t="shared" si="19"/>
        <v>9771.5</v>
      </c>
      <c r="L295" s="96"/>
      <c r="M295" s="96">
        <f t="shared" si="20"/>
        <v>0</v>
      </c>
      <c r="N295" s="107">
        <f>SUMIF([1]CRJ!$H$880:$H$894,B295:B700,[1]CRJ!$J$880:$J$894)</f>
        <v>0</v>
      </c>
      <c r="O295" s="100">
        <f>SUMIF([1]CRJ!$H$880:$H$894,B295:B700,[1]CRJ!$K$880:$K$894)</f>
        <v>0</v>
      </c>
      <c r="P295" s="100">
        <f>SUMIF([1]ChkDJ!$H$849:$H$867,B295:B700,[1]ChkDJ!$J$849:$J$867)</f>
        <v>0</v>
      </c>
      <c r="Q295" s="100">
        <f>SUMIF([1]ChkDJ!$H$849:$H$867,B295:B700,[1]ChkDJ!$K$849:$K$867)</f>
        <v>0</v>
      </c>
      <c r="R295" s="100">
        <f>SUMIF([1]CDJ!$H$190:$H$197,B295:B700,[1]CDJ!$J$190:$J$197)</f>
        <v>0</v>
      </c>
      <c r="S295" s="100">
        <f>SUMIF([1]CDJ!$H$190:$H$197,B295:B700,[1]CDJ!$K$190:$K$197)</f>
        <v>0</v>
      </c>
      <c r="T295" s="102">
        <f>SUMIF([1]GL!$H$448:$H$480,B295:B705,[1]GL!$J$448:$J$487)</f>
        <v>0</v>
      </c>
      <c r="U295" s="100">
        <f>SUMIF([1]GL!$H$448:$H$480,B295:B705,[1]GL!$K$448:$K$487)</f>
        <v>0</v>
      </c>
      <c r="V295" s="102"/>
      <c r="W295" s="100"/>
      <c r="X295" s="101"/>
      <c r="Y295" s="353"/>
    </row>
    <row r="296" spans="1:25" s="105" customFormat="1" ht="15.75" hidden="1">
      <c r="A296" s="93" t="s">
        <v>218</v>
      </c>
      <c r="B296" s="513">
        <v>760</v>
      </c>
      <c r="C296" s="94">
        <f>+K296-M296</f>
        <v>0</v>
      </c>
      <c r="D296" s="94"/>
      <c r="E296" s="94"/>
      <c r="F296" s="653">
        <v>0</v>
      </c>
      <c r="G296" s="98"/>
      <c r="H296" s="96">
        <v>0</v>
      </c>
      <c r="I296" s="98">
        <f t="shared" si="18"/>
        <v>0</v>
      </c>
      <c r="J296" s="98">
        <f t="shared" si="18"/>
        <v>0</v>
      </c>
      <c r="K296" s="96">
        <f t="shared" si="19"/>
        <v>0</v>
      </c>
      <c r="L296" s="96"/>
      <c r="M296" s="96">
        <f t="shared" si="20"/>
        <v>0</v>
      </c>
      <c r="N296" s="107">
        <f>SUMIF([1]CRJ!$H$880:$H$894,B296:B701,[1]CRJ!$J$880:$J$894)</f>
        <v>0</v>
      </c>
      <c r="O296" s="100">
        <f>SUMIF([1]CRJ!$H$880:$H$894,B296:B701,[1]CRJ!$K$880:$K$894)</f>
        <v>0</v>
      </c>
      <c r="P296" s="100">
        <f>SUMIF([1]ChkDJ!$H$849:$H$867,B296:B701,[1]ChkDJ!$J$849:$J$867)</f>
        <v>0</v>
      </c>
      <c r="Q296" s="100">
        <f>SUMIF([1]ChkDJ!$H$849:$H$867,B296:B701,[1]ChkDJ!$K$849:$K$867)</f>
        <v>0</v>
      </c>
      <c r="R296" s="100">
        <f>SUMIF([1]CDJ!$H$190:$H$197,B296:B701,[1]CDJ!$J$190:$J$197)</f>
        <v>0</v>
      </c>
      <c r="S296" s="100">
        <f>SUMIF([1]CDJ!$H$190:$H$197,B296:B701,[1]CDJ!$K$190:$K$197)</f>
        <v>0</v>
      </c>
      <c r="T296" s="102">
        <f>SUMIF([1]GL!$H$448:$H$480,B296:B706,[1]GL!$J$448:$J$487)</f>
        <v>0</v>
      </c>
      <c r="U296" s="100">
        <f>SUMIF([1]GL!$H$448:$H$480,B296:B706,[1]GL!$K$448:$K$487)</f>
        <v>0</v>
      </c>
      <c r="V296" s="102"/>
      <c r="W296" s="100"/>
      <c r="X296" s="101"/>
      <c r="Y296" s="353"/>
    </row>
    <row r="297" spans="1:25" s="105" customFormat="1" ht="15.75" customHeight="1">
      <c r="A297" s="93" t="s">
        <v>69</v>
      </c>
      <c r="B297" s="513">
        <v>761</v>
      </c>
      <c r="C297" s="94">
        <f t="shared" si="17"/>
        <v>160787.89000000001</v>
      </c>
      <c r="D297" s="94"/>
      <c r="E297" s="94"/>
      <c r="F297" s="653">
        <v>160787.89000000001</v>
      </c>
      <c r="G297" s="98"/>
      <c r="H297" s="96">
        <v>0</v>
      </c>
      <c r="I297" s="98">
        <f t="shared" si="18"/>
        <v>0</v>
      </c>
      <c r="J297" s="98">
        <f t="shared" si="18"/>
        <v>0</v>
      </c>
      <c r="K297" s="96">
        <f t="shared" si="19"/>
        <v>160787.89000000001</v>
      </c>
      <c r="L297" s="96"/>
      <c r="M297" s="96">
        <f t="shared" si="20"/>
        <v>0</v>
      </c>
      <c r="N297" s="107">
        <f>SUMIF([1]CRJ!$H$880:$H$894,B297:B702,[1]CRJ!$J$880:$J$894)</f>
        <v>0</v>
      </c>
      <c r="O297" s="100">
        <f>SUMIF([1]CRJ!$H$880:$H$894,B297:B702,[1]CRJ!$K$880:$K$894)</f>
        <v>0</v>
      </c>
      <c r="P297" s="100">
        <f>SUMIF([1]ChkDJ!$H$849:$H$867,B297:B702,[1]ChkDJ!$J$849:$J$867)</f>
        <v>0</v>
      </c>
      <c r="Q297" s="100">
        <f>SUMIF([1]ChkDJ!$H$849:$H$867,B297:B702,[1]ChkDJ!$K$849:$K$867)</f>
        <v>0</v>
      </c>
      <c r="R297" s="100">
        <f>SUMIF([1]CDJ!$H$190:$H$197,B297:B702,[1]CDJ!$J$190:$J$197)</f>
        <v>0</v>
      </c>
      <c r="S297" s="100">
        <f>SUMIF([1]CDJ!$H$190:$H$197,B297:B702,[1]CDJ!$K$190:$K$197)</f>
        <v>0</v>
      </c>
      <c r="T297" s="102">
        <f>SUMIF([1]GL!$H$448:$H$480,B297:B707,[1]GL!$J$448:$J$487)</f>
        <v>0</v>
      </c>
      <c r="U297" s="100">
        <f>SUMIF([1]GL!$H$448:$H$480,B297:B707,[1]GL!$K$448:$K$487)</f>
        <v>0</v>
      </c>
      <c r="V297" s="102"/>
      <c r="W297" s="100"/>
      <c r="X297" s="101"/>
      <c r="Y297" s="353"/>
    </row>
    <row r="298" spans="1:25" s="350" customFormat="1" ht="15.75" hidden="1" customHeight="1">
      <c r="A298" s="428" t="s">
        <v>714</v>
      </c>
      <c r="B298" s="423">
        <v>762</v>
      </c>
      <c r="C298" s="94">
        <f t="shared" si="17"/>
        <v>0</v>
      </c>
      <c r="D298" s="94"/>
      <c r="E298" s="420"/>
      <c r="F298" s="650">
        <v>0</v>
      </c>
      <c r="G298" s="651"/>
      <c r="H298" s="593">
        <v>0</v>
      </c>
      <c r="I298" s="98">
        <f t="shared" si="18"/>
        <v>0</v>
      </c>
      <c r="J298" s="98">
        <f t="shared" si="18"/>
        <v>0</v>
      </c>
      <c r="K298" s="96">
        <f t="shared" si="19"/>
        <v>0</v>
      </c>
      <c r="L298" s="96"/>
      <c r="M298" s="96">
        <f t="shared" si="20"/>
        <v>0</v>
      </c>
      <c r="N298" s="107">
        <f>SUMIF([1]CRJ!$H$880:$H$894,B298:B703,[1]CRJ!$J$880:$J$894)</f>
        <v>0</v>
      </c>
      <c r="O298" s="100">
        <f>SUMIF([1]CRJ!$H$880:$H$894,B298:B703,[1]CRJ!$K$880:$K$894)</f>
        <v>0</v>
      </c>
      <c r="P298" s="100">
        <f>SUMIF([1]ChkDJ!$H$849:$H$867,B298:B703,[1]ChkDJ!$J$849:$J$867)</f>
        <v>0</v>
      </c>
      <c r="Q298" s="100">
        <f>SUMIF([1]ChkDJ!$H$849:$H$867,B298:B703,[1]ChkDJ!$K$849:$K$867)</f>
        <v>0</v>
      </c>
      <c r="R298" s="100">
        <f>SUMIF([1]CDJ!$H$190:$H$197,B298:B703,[1]CDJ!$J$190:$J$197)</f>
        <v>0</v>
      </c>
      <c r="S298" s="100">
        <f>SUMIF([1]CDJ!$H$190:$H$197,B298:B703,[1]CDJ!$K$190:$K$197)</f>
        <v>0</v>
      </c>
      <c r="T298" s="102">
        <f>SUMIF([1]GL!$H$448:$H$480,B298:B708,[1]GL!$J$448:$J$487)</f>
        <v>0</v>
      </c>
      <c r="U298" s="100">
        <f>SUMIF([1]GL!$H$448:$H$480,B298:B708,[1]GL!$K$448:$K$487)</f>
        <v>0</v>
      </c>
      <c r="V298" s="102"/>
      <c r="W298" s="100"/>
      <c r="X298" s="101"/>
      <c r="Y298" s="353"/>
    </row>
    <row r="299" spans="1:25" s="105" customFormat="1" ht="15.75" hidden="1">
      <c r="A299" s="93" t="s">
        <v>253</v>
      </c>
      <c r="B299" s="513">
        <v>763</v>
      </c>
      <c r="C299" s="94">
        <f t="shared" si="17"/>
        <v>0</v>
      </c>
      <c r="D299" s="94"/>
      <c r="E299" s="94"/>
      <c r="F299" s="653">
        <v>0</v>
      </c>
      <c r="G299" s="98"/>
      <c r="H299" s="96">
        <v>0</v>
      </c>
      <c r="I299" s="98">
        <f t="shared" si="18"/>
        <v>0</v>
      </c>
      <c r="J299" s="98">
        <f t="shared" si="18"/>
        <v>0</v>
      </c>
      <c r="K299" s="96">
        <f t="shared" si="19"/>
        <v>0</v>
      </c>
      <c r="L299" s="96"/>
      <c r="M299" s="96">
        <f t="shared" si="20"/>
        <v>0</v>
      </c>
      <c r="N299" s="107">
        <f>SUMIF([1]CRJ!$H$880:$H$894,B299:B704,[1]CRJ!$J$880:$J$894)</f>
        <v>0</v>
      </c>
      <c r="O299" s="100">
        <f>SUMIF([1]CRJ!$H$880:$H$894,B299:B704,[1]CRJ!$K$880:$K$894)</f>
        <v>0</v>
      </c>
      <c r="P299" s="100">
        <f>SUMIF([1]ChkDJ!$H$849:$H$867,B299:B704,[1]ChkDJ!$J$849:$J$867)</f>
        <v>0</v>
      </c>
      <c r="Q299" s="100">
        <f>SUMIF([1]ChkDJ!$H$849:$H$867,B299:B704,[1]ChkDJ!$K$849:$K$867)</f>
        <v>0</v>
      </c>
      <c r="R299" s="100">
        <f>SUMIF([1]CDJ!$H$190:$H$197,B299:B704,[1]CDJ!$J$190:$J$197)</f>
        <v>0</v>
      </c>
      <c r="S299" s="100">
        <f>SUMIF([1]CDJ!$H$190:$H$197,B299:B704,[1]CDJ!$K$190:$K$197)</f>
        <v>0</v>
      </c>
      <c r="T299" s="102">
        <f>SUMIF([1]GL!$H$448:$H$480,B299:B709,[1]GL!$J$448:$J$487)</f>
        <v>0</v>
      </c>
      <c r="U299" s="100">
        <f>SUMIF([1]GL!$H$448:$H$480,B299:B709,[1]GL!$K$448:$K$487)</f>
        <v>0</v>
      </c>
      <c r="V299" s="102"/>
      <c r="W299" s="100"/>
      <c r="X299" s="101"/>
      <c r="Y299" s="353"/>
    </row>
    <row r="300" spans="1:25" s="350" customFormat="1" ht="15.75" hidden="1" customHeight="1">
      <c r="A300" s="428" t="s">
        <v>715</v>
      </c>
      <c r="B300" s="423">
        <v>764</v>
      </c>
      <c r="C300" s="94">
        <f t="shared" si="17"/>
        <v>0</v>
      </c>
      <c r="D300" s="94"/>
      <c r="E300" s="420"/>
      <c r="F300" s="650">
        <v>0</v>
      </c>
      <c r="G300" s="651"/>
      <c r="H300" s="593">
        <v>0</v>
      </c>
      <c r="I300" s="98">
        <f t="shared" si="18"/>
        <v>0</v>
      </c>
      <c r="J300" s="98">
        <f t="shared" si="18"/>
        <v>0</v>
      </c>
      <c r="K300" s="96">
        <f t="shared" si="19"/>
        <v>0</v>
      </c>
      <c r="L300" s="96"/>
      <c r="M300" s="96">
        <f t="shared" si="20"/>
        <v>0</v>
      </c>
      <c r="N300" s="107">
        <f>SUMIF([1]CRJ!$H$880:$H$894,B300:B705,[1]CRJ!$J$880:$J$894)</f>
        <v>0</v>
      </c>
      <c r="O300" s="100">
        <f>SUMIF([1]CRJ!$H$880:$H$894,B300:B705,[1]CRJ!$K$880:$K$894)</f>
        <v>0</v>
      </c>
      <c r="P300" s="100">
        <f>SUMIF([1]ChkDJ!$H$849:$H$867,B300:B705,[1]ChkDJ!$J$849:$J$867)</f>
        <v>0</v>
      </c>
      <c r="Q300" s="100">
        <f>SUMIF([1]ChkDJ!$H$849:$H$867,B300:B705,[1]ChkDJ!$K$849:$K$867)</f>
        <v>0</v>
      </c>
      <c r="R300" s="100">
        <f>SUMIF([1]CDJ!$H$190:$H$197,B300:B705,[1]CDJ!$J$190:$J$197)</f>
        <v>0</v>
      </c>
      <c r="S300" s="100">
        <f>SUMIF([1]CDJ!$H$190:$H$197,B300:B705,[1]CDJ!$K$190:$K$197)</f>
        <v>0</v>
      </c>
      <c r="T300" s="102">
        <f>SUMIF([1]GL!$H$448:$H$480,B300:B710,[1]GL!$J$448:$J$487)</f>
        <v>0</v>
      </c>
      <c r="U300" s="100">
        <f>SUMIF([1]GL!$H$448:$H$480,B300:B710,[1]GL!$K$448:$K$487)</f>
        <v>0</v>
      </c>
      <c r="V300" s="102"/>
      <c r="W300" s="100"/>
      <c r="X300" s="101"/>
      <c r="Y300" s="353"/>
    </row>
    <row r="301" spans="1:25" s="105" customFormat="1" ht="15.75">
      <c r="A301" s="93" t="s">
        <v>269</v>
      </c>
      <c r="B301" s="513">
        <v>765</v>
      </c>
      <c r="C301" s="94">
        <f t="shared" si="17"/>
        <v>536442</v>
      </c>
      <c r="D301" s="94"/>
      <c r="E301" s="94"/>
      <c r="F301" s="653">
        <v>536442</v>
      </c>
      <c r="G301" s="98"/>
      <c r="H301" s="96">
        <v>0</v>
      </c>
      <c r="I301" s="98">
        <f t="shared" si="18"/>
        <v>0</v>
      </c>
      <c r="J301" s="98">
        <f t="shared" si="18"/>
        <v>0</v>
      </c>
      <c r="K301" s="96">
        <f t="shared" si="19"/>
        <v>536442</v>
      </c>
      <c r="L301" s="96"/>
      <c r="M301" s="96">
        <f t="shared" si="20"/>
        <v>0</v>
      </c>
      <c r="N301" s="107">
        <f>SUMIF([1]CRJ!$H$880:$H$894,B301:B706,[1]CRJ!$J$880:$J$894)</f>
        <v>0</v>
      </c>
      <c r="O301" s="100">
        <f>SUMIF([1]CRJ!$H$880:$H$894,B301:B706,[1]CRJ!$K$880:$K$894)</f>
        <v>0</v>
      </c>
      <c r="P301" s="100">
        <f>SUMIF([1]ChkDJ!$H$849:$H$867,B301:B706,[1]ChkDJ!$J$849:$J$867)</f>
        <v>0</v>
      </c>
      <c r="Q301" s="100">
        <f>SUMIF([1]ChkDJ!$H$849:$H$867,B301:B706,[1]ChkDJ!$K$849:$K$867)</f>
        <v>0</v>
      </c>
      <c r="R301" s="100">
        <f>SUMIF([1]CDJ!$H$190:$H$197,B301:B706,[1]CDJ!$J$190:$J$197)</f>
        <v>0</v>
      </c>
      <c r="S301" s="100">
        <f>SUMIF([1]CDJ!$H$190:$H$197,B301:B706,[1]CDJ!$K$190:$K$197)</f>
        <v>0</v>
      </c>
      <c r="T301" s="102">
        <f>SUMIF([1]GL!$H$448:$H$480,B301:B711,[1]GL!$J$448:$J$487)</f>
        <v>0</v>
      </c>
      <c r="U301" s="100">
        <f>SUMIF([1]GL!$H$448:$H$480,B301:B711,[1]GL!$K$448:$K$487)</f>
        <v>0</v>
      </c>
      <c r="V301" s="102"/>
      <c r="W301" s="100"/>
      <c r="X301" s="101"/>
      <c r="Y301" s="353"/>
    </row>
    <row r="302" spans="1:25" s="105" customFormat="1" ht="15.75" hidden="1" customHeight="1">
      <c r="A302" s="93" t="s">
        <v>99</v>
      </c>
      <c r="B302" s="513">
        <v>766</v>
      </c>
      <c r="C302" s="94">
        <f t="shared" si="17"/>
        <v>0</v>
      </c>
      <c r="D302" s="94"/>
      <c r="E302" s="94"/>
      <c r="F302" s="653">
        <v>0</v>
      </c>
      <c r="G302" s="98"/>
      <c r="H302" s="96">
        <v>0</v>
      </c>
      <c r="I302" s="98">
        <f t="shared" si="18"/>
        <v>0</v>
      </c>
      <c r="J302" s="98">
        <f t="shared" si="18"/>
        <v>0</v>
      </c>
      <c r="K302" s="96">
        <f t="shared" si="19"/>
        <v>0</v>
      </c>
      <c r="L302" s="96"/>
      <c r="M302" s="96">
        <f t="shared" si="20"/>
        <v>0</v>
      </c>
      <c r="N302" s="107">
        <f>SUMIF([1]CRJ!$H$880:$H$894,B302:B707,[1]CRJ!$J$880:$J$894)</f>
        <v>0</v>
      </c>
      <c r="O302" s="100">
        <f>SUMIF([1]CRJ!$H$880:$H$894,B302:B707,[1]CRJ!$K$880:$K$894)</f>
        <v>0</v>
      </c>
      <c r="P302" s="100">
        <f>SUMIF([1]ChkDJ!$H$849:$H$867,B302:B707,[1]ChkDJ!$J$849:$J$867)</f>
        <v>0</v>
      </c>
      <c r="Q302" s="100">
        <f>SUMIF([1]ChkDJ!$H$849:$H$867,B302:B707,[1]ChkDJ!$K$849:$K$867)</f>
        <v>0</v>
      </c>
      <c r="R302" s="100">
        <f>SUMIF([1]CDJ!$H$190:$H$197,B302:B707,[1]CDJ!$J$190:$J$197)</f>
        <v>0</v>
      </c>
      <c r="S302" s="100">
        <f>SUMIF([1]CDJ!$H$190:$H$197,B302:B707,[1]CDJ!$K$190:$K$197)</f>
        <v>0</v>
      </c>
      <c r="T302" s="102">
        <f>SUMIF([1]GL!$H$448:$H$480,B302:B712,[1]GL!$J$448:$J$487)</f>
        <v>0</v>
      </c>
      <c r="U302" s="100">
        <f>SUMIF([1]GL!$H$448:$H$480,B302:B712,[1]GL!$K$448:$K$487)</f>
        <v>0</v>
      </c>
      <c r="V302" s="102"/>
      <c r="W302" s="100"/>
      <c r="X302" s="101"/>
      <c r="Y302" s="353"/>
    </row>
    <row r="303" spans="1:25" s="105" customFormat="1" ht="15.75">
      <c r="A303" s="93" t="s">
        <v>100</v>
      </c>
      <c r="B303" s="513">
        <v>767</v>
      </c>
      <c r="C303" s="94">
        <f t="shared" si="17"/>
        <v>603259.9</v>
      </c>
      <c r="D303" s="94"/>
      <c r="E303" s="94"/>
      <c r="F303" s="653">
        <v>524124.79</v>
      </c>
      <c r="G303" s="98"/>
      <c r="H303" s="96">
        <v>0</v>
      </c>
      <c r="I303" s="98">
        <f t="shared" si="18"/>
        <v>79135.11</v>
      </c>
      <c r="J303" s="98">
        <f t="shared" si="18"/>
        <v>0</v>
      </c>
      <c r="K303" s="96">
        <f t="shared" si="19"/>
        <v>603259.9</v>
      </c>
      <c r="L303" s="96"/>
      <c r="M303" s="96">
        <f t="shared" si="20"/>
        <v>0</v>
      </c>
      <c r="N303" s="107">
        <f>SUMIF([1]CRJ!$H$880:$H$894,B303:B708,[1]CRJ!$J$880:$J$894)</f>
        <v>0</v>
      </c>
      <c r="O303" s="100">
        <f>SUMIF([1]CRJ!$H$880:$H$894,B303:B708,[1]CRJ!$K$880:$K$894)</f>
        <v>0</v>
      </c>
      <c r="P303" s="100">
        <f>SUMIF([1]ChkDJ!$H$849:$H$867,B303:B708,[1]ChkDJ!$J$849:$J$867)</f>
        <v>79135.11</v>
      </c>
      <c r="Q303" s="100">
        <f>SUMIF([1]ChkDJ!$H$849:$H$867,B303:B708,[1]ChkDJ!$K$849:$K$867)</f>
        <v>0</v>
      </c>
      <c r="R303" s="100">
        <f>SUMIF([1]CDJ!$H$190:$H$197,B303:B708,[1]CDJ!$J$190:$J$197)</f>
        <v>0</v>
      </c>
      <c r="S303" s="100">
        <f>SUMIF([1]CDJ!$H$190:$H$197,B303:B708,[1]CDJ!$K$190:$K$197)</f>
        <v>0</v>
      </c>
      <c r="T303" s="102">
        <f>SUMIF([1]GL!$H$448:$H$480,B303:B713,[1]GL!$J$448:$J$487)</f>
        <v>0</v>
      </c>
      <c r="U303" s="100">
        <f>SUMIF([1]GL!$H$448:$H$480,B303:B713,[1]GL!$K$448:$K$487)</f>
        <v>0</v>
      </c>
      <c r="V303" s="102"/>
      <c r="W303" s="100"/>
      <c r="X303" s="101"/>
      <c r="Y303" s="353"/>
    </row>
    <row r="304" spans="1:25" s="350" customFormat="1" ht="15.75" hidden="1" customHeight="1">
      <c r="A304" s="428" t="s">
        <v>716</v>
      </c>
      <c r="B304" s="423">
        <v>768</v>
      </c>
      <c r="C304" s="94">
        <f t="shared" si="17"/>
        <v>0</v>
      </c>
      <c r="D304" s="94"/>
      <c r="E304" s="420"/>
      <c r="F304" s="650">
        <v>0</v>
      </c>
      <c r="G304" s="651"/>
      <c r="H304" s="593">
        <v>0</v>
      </c>
      <c r="I304" s="98">
        <f t="shared" si="18"/>
        <v>0</v>
      </c>
      <c r="J304" s="98">
        <f t="shared" si="18"/>
        <v>0</v>
      </c>
      <c r="K304" s="96">
        <f t="shared" si="19"/>
        <v>0</v>
      </c>
      <c r="L304" s="96"/>
      <c r="M304" s="96">
        <f t="shared" si="20"/>
        <v>0</v>
      </c>
      <c r="N304" s="107">
        <f>SUMIF([1]CRJ!$H$880:$H$894,B304:B709,[1]CRJ!$J$880:$J$894)</f>
        <v>0</v>
      </c>
      <c r="O304" s="100">
        <f>SUMIF([1]CRJ!$H$880:$H$894,B304:B709,[1]CRJ!$K$880:$K$894)</f>
        <v>0</v>
      </c>
      <c r="P304" s="100">
        <f>SUMIF([1]ChkDJ!$H$849:$H$867,B304:B709,[1]ChkDJ!$J$849:$J$867)</f>
        <v>0</v>
      </c>
      <c r="Q304" s="100">
        <f>SUMIF([1]ChkDJ!$H$849:$H$867,B304:B709,[1]ChkDJ!$K$849:$K$867)</f>
        <v>0</v>
      </c>
      <c r="R304" s="100">
        <f>SUMIF([1]CDJ!$H$190:$H$197,B304:B709,[1]CDJ!$J$190:$J$197)</f>
        <v>0</v>
      </c>
      <c r="S304" s="100">
        <f>SUMIF([1]CDJ!$H$190:$H$197,B304:B709,[1]CDJ!$K$190:$K$197)</f>
        <v>0</v>
      </c>
      <c r="T304" s="102">
        <f>SUMIF([1]GL!$H$448:$H$480,B304:B714,[1]GL!$J$448:$J$487)</f>
        <v>0</v>
      </c>
      <c r="U304" s="100">
        <f>SUMIF([1]GL!$H$448:$H$480,B304:B714,[1]GL!$K$448:$K$487)</f>
        <v>0</v>
      </c>
      <c r="V304" s="102"/>
      <c r="W304" s="100"/>
      <c r="X304" s="101"/>
      <c r="Y304" s="353"/>
    </row>
    <row r="305" spans="1:25" s="350" customFormat="1" ht="15.75" hidden="1" customHeight="1">
      <c r="A305" s="428" t="s">
        <v>717</v>
      </c>
      <c r="B305" s="423">
        <v>771</v>
      </c>
      <c r="C305" s="94">
        <f t="shared" si="17"/>
        <v>0</v>
      </c>
      <c r="D305" s="94"/>
      <c r="E305" s="420"/>
      <c r="F305" s="650">
        <v>0</v>
      </c>
      <c r="G305" s="651"/>
      <c r="H305" s="593">
        <v>0</v>
      </c>
      <c r="I305" s="98">
        <f t="shared" si="18"/>
        <v>0</v>
      </c>
      <c r="J305" s="98">
        <f t="shared" si="18"/>
        <v>0</v>
      </c>
      <c r="K305" s="96">
        <f t="shared" si="19"/>
        <v>0</v>
      </c>
      <c r="L305" s="96"/>
      <c r="M305" s="96">
        <f t="shared" si="20"/>
        <v>0</v>
      </c>
      <c r="N305" s="107">
        <f>SUMIF([1]CRJ!$H$880:$H$894,B305:B710,[1]CRJ!$J$880:$J$894)</f>
        <v>0</v>
      </c>
      <c r="O305" s="100">
        <f>SUMIF([1]CRJ!$H$880:$H$894,B305:B710,[1]CRJ!$K$880:$K$894)</f>
        <v>0</v>
      </c>
      <c r="P305" s="100">
        <f>SUMIF([1]ChkDJ!$H$849:$H$867,B305:B710,[1]ChkDJ!$J$849:$J$867)</f>
        <v>0</v>
      </c>
      <c r="Q305" s="100">
        <f>SUMIF([1]ChkDJ!$H$849:$H$867,B305:B710,[1]ChkDJ!$K$849:$K$867)</f>
        <v>0</v>
      </c>
      <c r="R305" s="100">
        <f>SUMIF([1]CDJ!$H$190:$H$197,B305:B710,[1]CDJ!$J$190:$J$197)</f>
        <v>0</v>
      </c>
      <c r="S305" s="100">
        <f>SUMIF([1]CDJ!$H$190:$H$197,B305:B710,[1]CDJ!$K$190:$K$197)</f>
        <v>0</v>
      </c>
      <c r="T305" s="102">
        <f>SUMIF([1]GL!$H$448:$H$480,B305:B715,[1]GL!$J$448:$J$487)</f>
        <v>0</v>
      </c>
      <c r="U305" s="100">
        <f>SUMIF([1]GL!$H$448:$H$480,B305:B715,[1]GL!$K$448:$K$487)</f>
        <v>0</v>
      </c>
      <c r="V305" s="102"/>
      <c r="W305" s="100"/>
      <c r="X305" s="101"/>
      <c r="Y305" s="353"/>
    </row>
    <row r="306" spans="1:25" s="105" customFormat="1" ht="15.75" hidden="1" customHeight="1">
      <c r="A306" s="93" t="s">
        <v>890</v>
      </c>
      <c r="B306" s="513">
        <v>772</v>
      </c>
      <c r="C306" s="94">
        <f t="shared" si="17"/>
        <v>0</v>
      </c>
      <c r="D306" s="94"/>
      <c r="E306" s="94"/>
      <c r="F306" s="653">
        <v>0</v>
      </c>
      <c r="G306" s="98"/>
      <c r="H306" s="96">
        <v>0</v>
      </c>
      <c r="I306" s="98">
        <f t="shared" si="18"/>
        <v>0</v>
      </c>
      <c r="J306" s="98">
        <f t="shared" si="18"/>
        <v>0</v>
      </c>
      <c r="K306" s="96">
        <f t="shared" si="19"/>
        <v>0</v>
      </c>
      <c r="L306" s="96"/>
      <c r="M306" s="96">
        <f t="shared" si="20"/>
        <v>0</v>
      </c>
      <c r="N306" s="107">
        <f>SUMIF([1]CRJ!$H$880:$H$894,B306:B711,[1]CRJ!$J$880:$J$894)</f>
        <v>0</v>
      </c>
      <c r="O306" s="100">
        <f>SUMIF([1]CRJ!$H$880:$H$894,B306:B711,[1]CRJ!$K$880:$K$894)</f>
        <v>0</v>
      </c>
      <c r="P306" s="100">
        <f>SUMIF([1]ChkDJ!$H$849:$H$867,B306:B711,[1]ChkDJ!$J$849:$J$867)</f>
        <v>0</v>
      </c>
      <c r="Q306" s="100">
        <f>SUMIF([1]ChkDJ!$H$849:$H$867,B306:B711,[1]ChkDJ!$K$849:$K$867)</f>
        <v>0</v>
      </c>
      <c r="R306" s="100">
        <f>SUMIF([1]CDJ!$H$190:$H$197,B306:B711,[1]CDJ!$J$190:$J$197)</f>
        <v>0</v>
      </c>
      <c r="S306" s="100">
        <f>SUMIF([1]CDJ!$H$190:$H$197,B306:B711,[1]CDJ!$K$190:$K$197)</f>
        <v>0</v>
      </c>
      <c r="T306" s="102">
        <f>SUMIF([1]GL!$H$448:$H$480,B306:B716,[1]GL!$J$448:$J$487)</f>
        <v>0</v>
      </c>
      <c r="U306" s="100">
        <f>SUMIF([1]GL!$H$448:$H$480,B306:B716,[1]GL!$K$448:$K$487)</f>
        <v>0</v>
      </c>
      <c r="V306" s="102"/>
      <c r="W306" s="100"/>
      <c r="X306" s="101"/>
      <c r="Y306" s="353"/>
    </row>
    <row r="307" spans="1:25" s="105" customFormat="1" ht="15.75" hidden="1" customHeight="1">
      <c r="A307" s="93" t="s">
        <v>271</v>
      </c>
      <c r="B307" s="513">
        <v>773</v>
      </c>
      <c r="C307" s="94">
        <f t="shared" si="17"/>
        <v>0</v>
      </c>
      <c r="D307" s="94"/>
      <c r="E307" s="94"/>
      <c r="F307" s="653">
        <v>0</v>
      </c>
      <c r="G307" s="98"/>
      <c r="H307" s="96">
        <v>0</v>
      </c>
      <c r="I307" s="98">
        <f t="shared" si="18"/>
        <v>0</v>
      </c>
      <c r="J307" s="98">
        <f t="shared" si="18"/>
        <v>0</v>
      </c>
      <c r="K307" s="96">
        <f t="shared" si="19"/>
        <v>0</v>
      </c>
      <c r="L307" s="96"/>
      <c r="M307" s="96">
        <f t="shared" si="20"/>
        <v>0</v>
      </c>
      <c r="N307" s="107">
        <f>SUMIF([1]CRJ!$H$880:$H$894,B307:B712,[1]CRJ!$J$880:$J$894)</f>
        <v>0</v>
      </c>
      <c r="O307" s="100">
        <f>SUMIF([1]CRJ!$H$880:$H$894,B307:B712,[1]CRJ!$K$880:$K$894)</f>
        <v>0</v>
      </c>
      <c r="P307" s="100">
        <f>SUMIF([1]ChkDJ!$H$849:$H$867,B307:B712,[1]ChkDJ!$J$849:$J$867)</f>
        <v>0</v>
      </c>
      <c r="Q307" s="100">
        <f>SUMIF([1]ChkDJ!$H$849:$H$867,B307:B712,[1]ChkDJ!$K$849:$K$867)</f>
        <v>0</v>
      </c>
      <c r="R307" s="100">
        <f>SUMIF([1]CDJ!$H$190:$H$197,B307:B712,[1]CDJ!$J$190:$J$197)</f>
        <v>0</v>
      </c>
      <c r="S307" s="100">
        <f>SUMIF([1]CDJ!$H$190:$H$197,B307:B712,[1]CDJ!$K$190:$K$197)</f>
        <v>0</v>
      </c>
      <c r="T307" s="102">
        <f>SUMIF([1]GL!$H$448:$H$480,B307:B717,[1]GL!$J$448:$J$487)</f>
        <v>0</v>
      </c>
      <c r="U307" s="100">
        <f>SUMIF([1]GL!$H$448:$H$480,B307:B717,[1]GL!$K$448:$K$487)</f>
        <v>0</v>
      </c>
      <c r="V307" s="102"/>
      <c r="W307" s="100"/>
      <c r="X307" s="101"/>
      <c r="Y307" s="353"/>
    </row>
    <row r="308" spans="1:25" s="350" customFormat="1" ht="15.75" hidden="1" customHeight="1">
      <c r="A308" s="428" t="s">
        <v>718</v>
      </c>
      <c r="B308" s="423">
        <v>774</v>
      </c>
      <c r="C308" s="94">
        <f t="shared" si="17"/>
        <v>0</v>
      </c>
      <c r="D308" s="94"/>
      <c r="E308" s="420"/>
      <c r="F308" s="650">
        <v>0</v>
      </c>
      <c r="G308" s="651"/>
      <c r="H308" s="593">
        <v>0</v>
      </c>
      <c r="I308" s="98">
        <f t="shared" si="18"/>
        <v>0</v>
      </c>
      <c r="J308" s="98">
        <f t="shared" si="18"/>
        <v>0</v>
      </c>
      <c r="K308" s="96">
        <f t="shared" si="19"/>
        <v>0</v>
      </c>
      <c r="L308" s="96"/>
      <c r="M308" s="96">
        <f t="shared" si="20"/>
        <v>0</v>
      </c>
      <c r="N308" s="107">
        <f>SUMIF([1]CRJ!$H$880:$H$894,B308:B713,[1]CRJ!$J$880:$J$894)</f>
        <v>0</v>
      </c>
      <c r="O308" s="100">
        <f>SUMIF([1]CRJ!$H$880:$H$894,B308:B713,[1]CRJ!$K$880:$K$894)</f>
        <v>0</v>
      </c>
      <c r="P308" s="100">
        <f>SUMIF([1]ChkDJ!$H$849:$H$867,B308:B713,[1]ChkDJ!$J$849:$J$867)</f>
        <v>0</v>
      </c>
      <c r="Q308" s="100">
        <f>SUMIF([1]ChkDJ!$H$849:$H$867,B308:B713,[1]ChkDJ!$K$849:$K$867)</f>
        <v>0</v>
      </c>
      <c r="R308" s="100">
        <f>SUMIF([1]CDJ!$H$190:$H$197,B308:B713,[1]CDJ!$J$190:$J$197)</f>
        <v>0</v>
      </c>
      <c r="S308" s="100">
        <f>SUMIF([1]CDJ!$H$190:$H$197,B308:B713,[1]CDJ!$K$190:$K$197)</f>
        <v>0</v>
      </c>
      <c r="T308" s="102">
        <f>SUMIF([1]GL!$H$448:$H$480,B308:B718,[1]GL!$J$448:$J$487)</f>
        <v>0</v>
      </c>
      <c r="U308" s="100">
        <f>SUMIF([1]GL!$H$448:$H$480,B308:B718,[1]GL!$K$448:$K$487)</f>
        <v>0</v>
      </c>
      <c r="V308" s="102"/>
      <c r="W308" s="100"/>
      <c r="X308" s="101"/>
      <c r="Y308" s="353"/>
    </row>
    <row r="309" spans="1:25" s="350" customFormat="1" ht="15.75" hidden="1" customHeight="1">
      <c r="A309" s="428" t="s">
        <v>719</v>
      </c>
      <c r="B309" s="423">
        <v>775</v>
      </c>
      <c r="C309" s="94">
        <f t="shared" si="17"/>
        <v>0</v>
      </c>
      <c r="D309" s="94"/>
      <c r="E309" s="420"/>
      <c r="F309" s="650">
        <v>0</v>
      </c>
      <c r="G309" s="651"/>
      <c r="H309" s="593">
        <v>0</v>
      </c>
      <c r="I309" s="98">
        <f t="shared" si="18"/>
        <v>0</v>
      </c>
      <c r="J309" s="98">
        <f t="shared" si="18"/>
        <v>0</v>
      </c>
      <c r="K309" s="96">
        <f t="shared" si="19"/>
        <v>0</v>
      </c>
      <c r="L309" s="96"/>
      <c r="M309" s="96">
        <f t="shared" si="20"/>
        <v>0</v>
      </c>
      <c r="N309" s="107">
        <f>SUMIF([1]CRJ!$H$880:$H$894,B309:B714,[1]CRJ!$J$880:$J$894)</f>
        <v>0</v>
      </c>
      <c r="O309" s="100">
        <f>SUMIF([1]CRJ!$H$880:$H$894,B309:B714,[1]CRJ!$K$880:$K$894)</f>
        <v>0</v>
      </c>
      <c r="P309" s="100">
        <f>SUMIF([1]ChkDJ!$H$849:$H$867,B309:B714,[1]ChkDJ!$J$849:$J$867)</f>
        <v>0</v>
      </c>
      <c r="Q309" s="100">
        <f>SUMIF([1]ChkDJ!$H$849:$H$867,B309:B714,[1]ChkDJ!$K$849:$K$867)</f>
        <v>0</v>
      </c>
      <c r="R309" s="100">
        <f>SUMIF([1]CDJ!$H$190:$H$197,B309:B714,[1]CDJ!$J$190:$J$197)</f>
        <v>0</v>
      </c>
      <c r="S309" s="100">
        <f>SUMIF([1]CDJ!$H$190:$H$197,B309:B714,[1]CDJ!$K$190:$K$197)</f>
        <v>0</v>
      </c>
      <c r="T309" s="102">
        <f>SUMIF([1]GL!$H$448:$H$480,B309:B719,[1]GL!$J$448:$J$487)</f>
        <v>0</v>
      </c>
      <c r="U309" s="100">
        <f>SUMIF([1]GL!$H$448:$H$480,B309:B719,[1]GL!$K$448:$K$487)</f>
        <v>0</v>
      </c>
      <c r="V309" s="102"/>
      <c r="W309" s="100"/>
      <c r="X309" s="101"/>
      <c r="Y309" s="353"/>
    </row>
    <row r="310" spans="1:25" s="350" customFormat="1" ht="15.75" hidden="1" customHeight="1">
      <c r="A310" s="427" t="s">
        <v>720</v>
      </c>
      <c r="B310" s="423">
        <v>778</v>
      </c>
      <c r="C310" s="94">
        <f t="shared" si="17"/>
        <v>0</v>
      </c>
      <c r="D310" s="94"/>
      <c r="E310" s="420"/>
      <c r="F310" s="650">
        <v>0</v>
      </c>
      <c r="G310" s="651"/>
      <c r="H310" s="593">
        <v>0</v>
      </c>
      <c r="I310" s="98">
        <f t="shared" si="18"/>
        <v>0</v>
      </c>
      <c r="J310" s="98">
        <f t="shared" si="18"/>
        <v>0</v>
      </c>
      <c r="K310" s="96">
        <f t="shared" si="19"/>
        <v>0</v>
      </c>
      <c r="L310" s="96"/>
      <c r="M310" s="96">
        <f t="shared" si="20"/>
        <v>0</v>
      </c>
      <c r="N310" s="107">
        <f>SUMIF([1]CRJ!$H$880:$H$894,B310:B715,[1]CRJ!$J$880:$J$894)</f>
        <v>0</v>
      </c>
      <c r="O310" s="100">
        <f>SUMIF([1]CRJ!$H$880:$H$894,B310:B715,[1]CRJ!$K$880:$K$894)</f>
        <v>0</v>
      </c>
      <c r="P310" s="100">
        <f>SUMIF([1]ChkDJ!$H$849:$H$867,B310:B715,[1]ChkDJ!$J$849:$J$867)</f>
        <v>0</v>
      </c>
      <c r="Q310" s="100">
        <f>SUMIF([1]ChkDJ!$H$849:$H$867,B310:B715,[1]ChkDJ!$K$849:$K$867)</f>
        <v>0</v>
      </c>
      <c r="R310" s="100">
        <f>SUMIF([1]CDJ!$H$190:$H$197,B310:B715,[1]CDJ!$J$190:$J$197)</f>
        <v>0</v>
      </c>
      <c r="S310" s="100">
        <f>SUMIF([1]CDJ!$H$190:$H$197,B310:B715,[1]CDJ!$K$190:$K$197)</f>
        <v>0</v>
      </c>
      <c r="T310" s="102">
        <f>SUMIF([1]GL!$H$448:$H$480,B310:B720,[1]GL!$J$448:$J$487)</f>
        <v>0</v>
      </c>
      <c r="U310" s="100">
        <f>SUMIF([1]GL!$H$448:$H$480,B310:B720,[1]GL!$K$448:$K$487)</f>
        <v>0</v>
      </c>
      <c r="V310" s="102"/>
      <c r="W310" s="100"/>
      <c r="X310" s="101"/>
      <c r="Y310" s="353"/>
    </row>
    <row r="311" spans="1:25" s="350" customFormat="1" ht="15.75" hidden="1" customHeight="1">
      <c r="A311" s="427" t="s">
        <v>721</v>
      </c>
      <c r="B311" s="423">
        <v>779</v>
      </c>
      <c r="C311" s="94">
        <f t="shared" si="17"/>
        <v>0</v>
      </c>
      <c r="D311" s="94"/>
      <c r="E311" s="420"/>
      <c r="F311" s="650">
        <v>0</v>
      </c>
      <c r="G311" s="651"/>
      <c r="H311" s="593">
        <v>0</v>
      </c>
      <c r="I311" s="98">
        <f t="shared" si="18"/>
        <v>0</v>
      </c>
      <c r="J311" s="98">
        <f t="shared" si="18"/>
        <v>0</v>
      </c>
      <c r="K311" s="96">
        <f t="shared" si="19"/>
        <v>0</v>
      </c>
      <c r="L311" s="96"/>
      <c r="M311" s="96">
        <f t="shared" si="20"/>
        <v>0</v>
      </c>
      <c r="N311" s="107">
        <f>SUMIF([1]CRJ!$H$880:$H$894,B311:B716,[1]CRJ!$J$880:$J$894)</f>
        <v>0</v>
      </c>
      <c r="O311" s="100">
        <f>SUMIF([1]CRJ!$H$880:$H$894,B311:B716,[1]CRJ!$K$880:$K$894)</f>
        <v>0</v>
      </c>
      <c r="P311" s="100">
        <f>SUMIF([1]ChkDJ!$H$849:$H$867,B311:B716,[1]ChkDJ!$J$849:$J$867)</f>
        <v>0</v>
      </c>
      <c r="Q311" s="100">
        <f>SUMIF([1]ChkDJ!$H$849:$H$867,B311:B716,[1]ChkDJ!$K$849:$K$867)</f>
        <v>0</v>
      </c>
      <c r="R311" s="100">
        <f>SUMIF([1]CDJ!$H$190:$H$197,B311:B716,[1]CDJ!$J$190:$J$197)</f>
        <v>0</v>
      </c>
      <c r="S311" s="100">
        <f>SUMIF([1]CDJ!$H$190:$H$197,B311:B716,[1]CDJ!$K$190:$K$197)</f>
        <v>0</v>
      </c>
      <c r="T311" s="102">
        <f>SUMIF([1]GL!$H$448:$H$480,B311:B721,[1]GL!$J$448:$J$487)</f>
        <v>0</v>
      </c>
      <c r="U311" s="100">
        <f>SUMIF([1]GL!$H$448:$H$480,B311:B721,[1]GL!$K$448:$K$487)</f>
        <v>0</v>
      </c>
      <c r="V311" s="102"/>
      <c r="W311" s="100"/>
      <c r="X311" s="101"/>
      <c r="Y311" s="353"/>
    </row>
    <row r="312" spans="1:25" s="350" customFormat="1" ht="15.75" hidden="1" customHeight="1">
      <c r="A312" s="427" t="s">
        <v>722</v>
      </c>
      <c r="B312" s="423">
        <v>780</v>
      </c>
      <c r="C312" s="94">
        <f t="shared" si="17"/>
        <v>0</v>
      </c>
      <c r="D312" s="94"/>
      <c r="E312" s="420"/>
      <c r="F312" s="650">
        <v>0</v>
      </c>
      <c r="G312" s="651"/>
      <c r="H312" s="593">
        <v>0</v>
      </c>
      <c r="I312" s="98">
        <f t="shared" si="18"/>
        <v>0</v>
      </c>
      <c r="J312" s="98">
        <f t="shared" si="18"/>
        <v>0</v>
      </c>
      <c r="K312" s="96">
        <f t="shared" si="19"/>
        <v>0</v>
      </c>
      <c r="L312" s="96"/>
      <c r="M312" s="96">
        <f t="shared" si="20"/>
        <v>0</v>
      </c>
      <c r="N312" s="107">
        <f>SUMIF([1]CRJ!$H$880:$H$894,B312:B717,[1]CRJ!$J$880:$J$894)</f>
        <v>0</v>
      </c>
      <c r="O312" s="100">
        <f>SUMIF([1]CRJ!$H$880:$H$894,B312:B717,[1]CRJ!$K$880:$K$894)</f>
        <v>0</v>
      </c>
      <c r="P312" s="100">
        <f>SUMIF([1]ChkDJ!$H$849:$H$867,B312:B717,[1]ChkDJ!$J$849:$J$867)</f>
        <v>0</v>
      </c>
      <c r="Q312" s="100">
        <f>SUMIF([1]ChkDJ!$H$849:$H$867,B312:B717,[1]ChkDJ!$K$849:$K$867)</f>
        <v>0</v>
      </c>
      <c r="R312" s="100">
        <f>SUMIF([1]CDJ!$H$190:$H$197,B312:B717,[1]CDJ!$J$190:$J$197)</f>
        <v>0</v>
      </c>
      <c r="S312" s="100">
        <f>SUMIF([1]CDJ!$H$190:$H$197,B312:B717,[1]CDJ!$K$190:$K$197)</f>
        <v>0</v>
      </c>
      <c r="T312" s="102">
        <f>SUMIF([1]GL!$H$448:$H$480,B312:B722,[1]GL!$J$448:$J$487)</f>
        <v>0</v>
      </c>
      <c r="U312" s="100">
        <f>SUMIF([1]GL!$H$448:$H$480,B312:B722,[1]GL!$K$448:$K$487)</f>
        <v>0</v>
      </c>
      <c r="V312" s="102"/>
      <c r="W312" s="100"/>
      <c r="X312" s="101"/>
      <c r="Y312" s="353"/>
    </row>
    <row r="313" spans="1:25" s="105" customFormat="1" ht="15.75" hidden="1" customHeight="1">
      <c r="A313" s="93" t="s">
        <v>286</v>
      </c>
      <c r="B313" s="513">
        <v>781</v>
      </c>
      <c r="C313" s="94">
        <f t="shared" si="17"/>
        <v>0</v>
      </c>
      <c r="D313" s="94"/>
      <c r="E313" s="94"/>
      <c r="F313" s="653">
        <v>0</v>
      </c>
      <c r="G313" s="98"/>
      <c r="H313" s="96">
        <v>0</v>
      </c>
      <c r="I313" s="98">
        <f t="shared" si="18"/>
        <v>0</v>
      </c>
      <c r="J313" s="98">
        <f t="shared" si="18"/>
        <v>0</v>
      </c>
      <c r="K313" s="96">
        <f t="shared" si="19"/>
        <v>0</v>
      </c>
      <c r="L313" s="96"/>
      <c r="M313" s="96">
        <f t="shared" si="20"/>
        <v>0</v>
      </c>
      <c r="N313" s="107">
        <f>SUMIF([1]CRJ!$H$880:$H$894,B313:B718,[1]CRJ!$J$880:$J$894)</f>
        <v>0</v>
      </c>
      <c r="O313" s="100">
        <f>SUMIF([1]CRJ!$H$880:$H$894,B313:B718,[1]CRJ!$K$880:$K$894)</f>
        <v>0</v>
      </c>
      <c r="P313" s="100">
        <f>SUMIF([1]ChkDJ!$H$849:$H$867,B313:B718,[1]ChkDJ!$J$849:$J$867)</f>
        <v>0</v>
      </c>
      <c r="Q313" s="100">
        <f>SUMIF([1]ChkDJ!$H$849:$H$867,B313:B718,[1]ChkDJ!$K$849:$K$867)</f>
        <v>0</v>
      </c>
      <c r="R313" s="100">
        <f>SUMIF([1]CDJ!$H$190:$H$197,B313:B718,[1]CDJ!$J$190:$J$197)</f>
        <v>0</v>
      </c>
      <c r="S313" s="100">
        <f>SUMIF([1]CDJ!$H$190:$H$197,B313:B718,[1]CDJ!$K$190:$K$197)</f>
        <v>0</v>
      </c>
      <c r="T313" s="102">
        <f>SUMIF([1]GL!$H$448:$H$480,B313:B723,[1]GL!$J$448:$J$487)</f>
        <v>0</v>
      </c>
      <c r="U313" s="100">
        <f>SUMIF([1]GL!$H$448:$H$480,B313:B723,[1]GL!$K$448:$K$487)</f>
        <v>0</v>
      </c>
      <c r="V313" s="102"/>
      <c r="W313" s="100"/>
      <c r="X313" s="101"/>
      <c r="Y313" s="353"/>
    </row>
    <row r="314" spans="1:25" s="105" customFormat="1" ht="15.75" customHeight="1">
      <c r="A314" s="93" t="s">
        <v>102</v>
      </c>
      <c r="B314" s="513">
        <v>782</v>
      </c>
      <c r="C314" s="94">
        <f t="shared" si="17"/>
        <v>70000</v>
      </c>
      <c r="D314" s="94"/>
      <c r="E314" s="94"/>
      <c r="F314" s="653">
        <v>0</v>
      </c>
      <c r="G314" s="98"/>
      <c r="H314" s="96">
        <v>0</v>
      </c>
      <c r="I314" s="98">
        <f t="shared" si="18"/>
        <v>70000</v>
      </c>
      <c r="J314" s="98">
        <f t="shared" si="18"/>
        <v>0</v>
      </c>
      <c r="K314" s="96">
        <f t="shared" si="19"/>
        <v>70000</v>
      </c>
      <c r="L314" s="96"/>
      <c r="M314" s="96">
        <f t="shared" si="20"/>
        <v>0</v>
      </c>
      <c r="N314" s="107">
        <f>SUMIF([1]CRJ!$H$880:$H$894,B314:B719,[1]CRJ!$J$880:$J$894)</f>
        <v>0</v>
      </c>
      <c r="O314" s="100">
        <f>SUMIF([1]CRJ!$H$880:$H$894,B314:B719,[1]CRJ!$K$880:$K$894)</f>
        <v>0</v>
      </c>
      <c r="P314" s="100">
        <f>SUMIF([1]ChkDJ!$H$849:$H$867,B314:B719,[1]ChkDJ!$J$849:$J$867)</f>
        <v>0</v>
      </c>
      <c r="Q314" s="100">
        <f>SUMIF([1]ChkDJ!$H$849:$H$867,B314:B719,[1]ChkDJ!$K$849:$K$867)</f>
        <v>0</v>
      </c>
      <c r="R314" s="100">
        <f>SUMIF([1]CDJ!$H$190:$H$197,B314:B719,[1]CDJ!$J$190:$J$197)</f>
        <v>70000</v>
      </c>
      <c r="S314" s="100">
        <f>SUMIF([1]CDJ!$H$190:$H$197,B314:B719,[1]CDJ!$K$190:$K$197)</f>
        <v>0</v>
      </c>
      <c r="T314" s="102">
        <f>SUMIF([1]GL!$H$448:$H$480,B314:B724,[1]GL!$J$448:$J$487)</f>
        <v>0</v>
      </c>
      <c r="U314" s="100">
        <f>SUMIF([1]GL!$H$448:$H$480,B314:B724,[1]GL!$K$448:$K$487)</f>
        <v>0</v>
      </c>
      <c r="V314" s="102"/>
      <c r="W314" s="100"/>
      <c r="X314" s="101"/>
      <c r="Y314" s="353"/>
    </row>
    <row r="315" spans="1:25" s="105" customFormat="1" ht="15.75" hidden="1" customHeight="1">
      <c r="A315" s="93" t="s">
        <v>254</v>
      </c>
      <c r="B315" s="513">
        <v>783</v>
      </c>
      <c r="C315" s="94">
        <f t="shared" si="17"/>
        <v>0</v>
      </c>
      <c r="D315" s="94"/>
      <c r="E315" s="94"/>
      <c r="F315" s="653">
        <v>0</v>
      </c>
      <c r="G315" s="98"/>
      <c r="H315" s="96">
        <v>0</v>
      </c>
      <c r="I315" s="98">
        <f t="shared" si="18"/>
        <v>0</v>
      </c>
      <c r="J315" s="98">
        <f t="shared" si="18"/>
        <v>0</v>
      </c>
      <c r="K315" s="96">
        <f t="shared" si="19"/>
        <v>0</v>
      </c>
      <c r="L315" s="96"/>
      <c r="M315" s="96">
        <f t="shared" si="20"/>
        <v>0</v>
      </c>
      <c r="N315" s="107">
        <f>SUMIF([1]CRJ!$H$880:$H$894,B315:B720,[1]CRJ!$J$880:$J$894)</f>
        <v>0</v>
      </c>
      <c r="O315" s="100">
        <f>SUMIF([1]CRJ!$H$880:$H$894,B315:B720,[1]CRJ!$K$880:$K$894)</f>
        <v>0</v>
      </c>
      <c r="P315" s="100">
        <f>SUMIF([1]ChkDJ!$H$849:$H$867,B315:B720,[1]ChkDJ!$J$849:$J$867)</f>
        <v>0</v>
      </c>
      <c r="Q315" s="100">
        <f>SUMIF([1]ChkDJ!$H$849:$H$867,B315:B720,[1]ChkDJ!$K$849:$K$867)</f>
        <v>0</v>
      </c>
      <c r="R315" s="100">
        <f>SUMIF([1]CDJ!$H$190:$H$197,B315:B720,[1]CDJ!$J$190:$J$197)</f>
        <v>0</v>
      </c>
      <c r="S315" s="100">
        <f>SUMIF([1]CDJ!$H$190:$H$197,B315:B720,[1]CDJ!$K$190:$K$197)</f>
        <v>0</v>
      </c>
      <c r="T315" s="102">
        <f>SUMIF([1]GL!$H$448:$H$480,B315:B725,[1]GL!$J$448:$J$487)</f>
        <v>0</v>
      </c>
      <c r="U315" s="100">
        <f>SUMIF([1]GL!$H$448:$H$480,B315:B725,[1]GL!$K$448:$K$487)</f>
        <v>0</v>
      </c>
      <c r="V315" s="102"/>
      <c r="W315" s="100"/>
      <c r="X315" s="101"/>
      <c r="Y315" s="353"/>
    </row>
    <row r="316" spans="1:25" s="350" customFormat="1" ht="15.75" hidden="1" customHeight="1">
      <c r="A316" s="427" t="s">
        <v>723</v>
      </c>
      <c r="B316" s="423">
        <v>784</v>
      </c>
      <c r="C316" s="94">
        <f t="shared" si="17"/>
        <v>0</v>
      </c>
      <c r="D316" s="94"/>
      <c r="E316" s="420"/>
      <c r="F316" s="650">
        <v>0</v>
      </c>
      <c r="G316" s="651"/>
      <c r="H316" s="593">
        <v>0</v>
      </c>
      <c r="I316" s="98">
        <f t="shared" si="18"/>
        <v>0</v>
      </c>
      <c r="J316" s="98">
        <f t="shared" si="18"/>
        <v>0</v>
      </c>
      <c r="K316" s="96">
        <f t="shared" si="19"/>
        <v>0</v>
      </c>
      <c r="L316" s="96"/>
      <c r="M316" s="96">
        <f t="shared" si="20"/>
        <v>0</v>
      </c>
      <c r="N316" s="107">
        <f>SUMIF([1]CRJ!$H$880:$H$894,B316:B721,[1]CRJ!$J$880:$J$894)</f>
        <v>0</v>
      </c>
      <c r="O316" s="100">
        <f>SUMIF([1]CRJ!$H$880:$H$894,B316:B721,[1]CRJ!$K$880:$K$894)</f>
        <v>0</v>
      </c>
      <c r="P316" s="100">
        <f>SUMIF([1]ChkDJ!$H$849:$H$867,B316:B721,[1]ChkDJ!$J$849:$J$867)</f>
        <v>0</v>
      </c>
      <c r="Q316" s="100">
        <f>SUMIF([1]ChkDJ!$H$849:$H$867,B316:B721,[1]ChkDJ!$K$849:$K$867)</f>
        <v>0</v>
      </c>
      <c r="R316" s="100">
        <f>SUMIF([1]CDJ!$H$190:$H$197,B316:B721,[1]CDJ!$J$190:$J$197)</f>
        <v>0</v>
      </c>
      <c r="S316" s="100">
        <f>SUMIF([1]CDJ!$H$190:$H$197,B316:B721,[1]CDJ!$K$190:$K$197)</f>
        <v>0</v>
      </c>
      <c r="T316" s="102">
        <f>SUMIF([1]GL!$H$448:$H$480,B316:B726,[1]GL!$J$448:$J$487)</f>
        <v>0</v>
      </c>
      <c r="U316" s="100">
        <f>SUMIF([1]GL!$H$448:$H$480,B316:B726,[1]GL!$K$448:$K$487)</f>
        <v>0</v>
      </c>
      <c r="V316" s="102"/>
      <c r="W316" s="100"/>
      <c r="X316" s="101"/>
      <c r="Y316" s="353"/>
    </row>
    <row r="317" spans="1:25" s="350" customFormat="1" ht="15.75" hidden="1" customHeight="1">
      <c r="A317" s="427" t="s">
        <v>724</v>
      </c>
      <c r="B317" s="423">
        <v>785</v>
      </c>
      <c r="C317" s="94">
        <f t="shared" si="17"/>
        <v>0</v>
      </c>
      <c r="D317" s="94"/>
      <c r="E317" s="420"/>
      <c r="F317" s="650">
        <v>0</v>
      </c>
      <c r="G317" s="651"/>
      <c r="H317" s="593">
        <v>0</v>
      </c>
      <c r="I317" s="98">
        <f t="shared" si="18"/>
        <v>0</v>
      </c>
      <c r="J317" s="98">
        <f t="shared" si="18"/>
        <v>0</v>
      </c>
      <c r="K317" s="96">
        <f t="shared" si="19"/>
        <v>0</v>
      </c>
      <c r="L317" s="96"/>
      <c r="M317" s="96">
        <f t="shared" si="20"/>
        <v>0</v>
      </c>
      <c r="N317" s="107">
        <f>SUMIF([1]CRJ!$H$880:$H$894,B317:B722,[1]CRJ!$J$880:$J$894)</f>
        <v>0</v>
      </c>
      <c r="O317" s="100">
        <f>SUMIF([1]CRJ!$H$880:$H$894,B317:B722,[1]CRJ!$K$880:$K$894)</f>
        <v>0</v>
      </c>
      <c r="P317" s="100">
        <f>SUMIF([1]ChkDJ!$H$849:$H$867,B317:B722,[1]ChkDJ!$J$849:$J$867)</f>
        <v>0</v>
      </c>
      <c r="Q317" s="100">
        <f>SUMIF([1]ChkDJ!$H$849:$H$867,B317:B722,[1]ChkDJ!$K$849:$K$867)</f>
        <v>0</v>
      </c>
      <c r="R317" s="100">
        <f>SUMIF([1]CDJ!$H$190:$H$197,B317:B722,[1]CDJ!$J$190:$J$197)</f>
        <v>0</v>
      </c>
      <c r="S317" s="100">
        <f>SUMIF([1]CDJ!$H$190:$H$197,B317:B722,[1]CDJ!$K$190:$K$197)</f>
        <v>0</v>
      </c>
      <c r="T317" s="102">
        <f>SUMIF([1]GL!$H$448:$H$480,B317:B727,[1]GL!$J$448:$J$487)</f>
        <v>0</v>
      </c>
      <c r="U317" s="100">
        <f>SUMIF([1]GL!$H$448:$H$480,B317:B727,[1]GL!$K$448:$K$487)</f>
        <v>0</v>
      </c>
      <c r="V317" s="102"/>
      <c r="W317" s="100"/>
      <c r="X317" s="101"/>
      <c r="Y317" s="353"/>
    </row>
    <row r="318" spans="1:25" s="350" customFormat="1" ht="15.75" hidden="1" customHeight="1">
      <c r="A318" s="427" t="s">
        <v>725</v>
      </c>
      <c r="B318" s="423">
        <v>786</v>
      </c>
      <c r="C318" s="94">
        <f t="shared" si="17"/>
        <v>0</v>
      </c>
      <c r="D318" s="94"/>
      <c r="E318" s="420"/>
      <c r="F318" s="650">
        <v>0</v>
      </c>
      <c r="G318" s="651"/>
      <c r="H318" s="593">
        <v>0</v>
      </c>
      <c r="I318" s="98">
        <f t="shared" si="18"/>
        <v>0</v>
      </c>
      <c r="J318" s="98">
        <f t="shared" si="18"/>
        <v>0</v>
      </c>
      <c r="K318" s="96">
        <f t="shared" si="19"/>
        <v>0</v>
      </c>
      <c r="L318" s="96"/>
      <c r="M318" s="96">
        <f t="shared" si="20"/>
        <v>0</v>
      </c>
      <c r="N318" s="107">
        <f>SUMIF([1]CRJ!$H$880:$H$894,B318:B723,[1]CRJ!$J$880:$J$894)</f>
        <v>0</v>
      </c>
      <c r="O318" s="100">
        <f>SUMIF([1]CRJ!$H$880:$H$894,B318:B723,[1]CRJ!$K$880:$K$894)</f>
        <v>0</v>
      </c>
      <c r="P318" s="100">
        <f>SUMIF([1]ChkDJ!$H$849:$H$867,B318:B723,[1]ChkDJ!$J$849:$J$867)</f>
        <v>0</v>
      </c>
      <c r="Q318" s="100">
        <f>SUMIF([1]ChkDJ!$H$849:$H$867,B318:B723,[1]ChkDJ!$K$849:$K$867)</f>
        <v>0</v>
      </c>
      <c r="R318" s="100">
        <f>SUMIF([1]CDJ!$H$190:$H$197,B318:B723,[1]CDJ!$J$190:$J$197)</f>
        <v>0</v>
      </c>
      <c r="S318" s="100">
        <f>SUMIF([1]CDJ!$H$190:$H$197,B318:B723,[1]CDJ!$K$190:$K$197)</f>
        <v>0</v>
      </c>
      <c r="T318" s="102">
        <f>SUMIF([1]GL!$H$448:$H$480,B318:B728,[1]GL!$J$448:$J$487)</f>
        <v>0</v>
      </c>
      <c r="U318" s="100">
        <f>SUMIF([1]GL!$H$448:$H$480,B318:B728,[1]GL!$K$448:$K$487)</f>
        <v>0</v>
      </c>
      <c r="V318" s="102"/>
      <c r="W318" s="100"/>
      <c r="X318" s="101"/>
      <c r="Y318" s="353"/>
    </row>
    <row r="319" spans="1:25" s="350" customFormat="1" ht="15.75" hidden="1" customHeight="1">
      <c r="A319" s="427" t="s">
        <v>726</v>
      </c>
      <c r="B319" s="423">
        <v>787</v>
      </c>
      <c r="C319" s="94">
        <f t="shared" si="17"/>
        <v>0</v>
      </c>
      <c r="D319" s="94"/>
      <c r="E319" s="420"/>
      <c r="F319" s="650">
        <v>0</v>
      </c>
      <c r="G319" s="651"/>
      <c r="H319" s="593">
        <v>0</v>
      </c>
      <c r="I319" s="98">
        <f t="shared" si="18"/>
        <v>0</v>
      </c>
      <c r="J319" s="98">
        <f t="shared" si="18"/>
        <v>0</v>
      </c>
      <c r="K319" s="96">
        <f t="shared" si="19"/>
        <v>0</v>
      </c>
      <c r="L319" s="96"/>
      <c r="M319" s="96">
        <f t="shared" si="20"/>
        <v>0</v>
      </c>
      <c r="N319" s="107">
        <f>SUMIF([1]CRJ!$H$880:$H$894,B319:B724,[1]CRJ!$J$880:$J$894)</f>
        <v>0</v>
      </c>
      <c r="O319" s="100">
        <f>SUMIF([1]CRJ!$H$880:$H$894,B319:B724,[1]CRJ!$K$880:$K$894)</f>
        <v>0</v>
      </c>
      <c r="P319" s="100">
        <f>SUMIF([1]ChkDJ!$H$849:$H$867,B319:B724,[1]ChkDJ!$J$849:$J$867)</f>
        <v>0</v>
      </c>
      <c r="Q319" s="100">
        <f>SUMIF([1]ChkDJ!$H$849:$H$867,B319:B724,[1]ChkDJ!$K$849:$K$867)</f>
        <v>0</v>
      </c>
      <c r="R319" s="100">
        <f>SUMIF([1]CDJ!$H$190:$H$197,B319:B724,[1]CDJ!$J$190:$J$197)</f>
        <v>0</v>
      </c>
      <c r="S319" s="100">
        <f>SUMIF([1]CDJ!$H$190:$H$197,B319:B724,[1]CDJ!$K$190:$K$197)</f>
        <v>0</v>
      </c>
      <c r="T319" s="102">
        <f>SUMIF([1]GL!$H$448:$H$480,B319:B729,[1]GL!$J$448:$J$487)</f>
        <v>0</v>
      </c>
      <c r="U319" s="100">
        <f>SUMIF([1]GL!$H$448:$H$480,B319:B729,[1]GL!$K$448:$K$487)</f>
        <v>0</v>
      </c>
      <c r="V319" s="102"/>
      <c r="W319" s="100"/>
      <c r="X319" s="101"/>
      <c r="Y319" s="353"/>
    </row>
    <row r="320" spans="1:25" s="350" customFormat="1" ht="15.75" hidden="1" customHeight="1">
      <c r="A320" s="427" t="s">
        <v>727</v>
      </c>
      <c r="B320" s="423">
        <v>788</v>
      </c>
      <c r="C320" s="94">
        <f t="shared" si="17"/>
        <v>0</v>
      </c>
      <c r="D320" s="94"/>
      <c r="E320" s="420"/>
      <c r="F320" s="650">
        <v>0</v>
      </c>
      <c r="G320" s="651"/>
      <c r="H320" s="593">
        <v>0</v>
      </c>
      <c r="I320" s="98">
        <f t="shared" si="18"/>
        <v>0</v>
      </c>
      <c r="J320" s="98">
        <f t="shared" si="18"/>
        <v>0</v>
      </c>
      <c r="K320" s="96">
        <f t="shared" si="19"/>
        <v>0</v>
      </c>
      <c r="L320" s="96"/>
      <c r="M320" s="96">
        <f t="shared" si="20"/>
        <v>0</v>
      </c>
      <c r="N320" s="107">
        <f>SUMIF([1]CRJ!$H$880:$H$894,B320:B725,[1]CRJ!$J$880:$J$894)</f>
        <v>0</v>
      </c>
      <c r="O320" s="100">
        <f>SUMIF([1]CRJ!$H$880:$H$894,B320:B725,[1]CRJ!$K$880:$K$894)</f>
        <v>0</v>
      </c>
      <c r="P320" s="100">
        <f>SUMIF([1]ChkDJ!$H$849:$H$867,B320:B725,[1]ChkDJ!$J$849:$J$867)</f>
        <v>0</v>
      </c>
      <c r="Q320" s="100">
        <f>SUMIF([1]ChkDJ!$H$849:$H$867,B320:B725,[1]ChkDJ!$K$849:$K$867)</f>
        <v>0</v>
      </c>
      <c r="R320" s="100">
        <f>SUMIF([1]CDJ!$H$190:$H$197,B320:B725,[1]CDJ!$J$190:$J$197)</f>
        <v>0</v>
      </c>
      <c r="S320" s="100">
        <f>SUMIF([1]CDJ!$H$190:$H$197,B320:B725,[1]CDJ!$K$190:$K$197)</f>
        <v>0</v>
      </c>
      <c r="T320" s="102">
        <f>SUMIF([1]GL!$H$448:$H$480,B320:B730,[1]GL!$J$448:$J$487)</f>
        <v>0</v>
      </c>
      <c r="U320" s="100">
        <f>SUMIF([1]GL!$H$448:$H$480,B320:B730,[1]GL!$K$448:$K$487)</f>
        <v>0</v>
      </c>
      <c r="V320" s="102"/>
      <c r="W320" s="100"/>
      <c r="X320" s="101"/>
      <c r="Y320" s="353"/>
    </row>
    <row r="321" spans="1:25" s="350" customFormat="1" ht="15.75" hidden="1" customHeight="1">
      <c r="A321" s="427" t="s">
        <v>728</v>
      </c>
      <c r="B321" s="423">
        <v>791</v>
      </c>
      <c r="C321" s="94">
        <f t="shared" si="17"/>
        <v>0</v>
      </c>
      <c r="D321" s="94"/>
      <c r="E321" s="420"/>
      <c r="F321" s="650">
        <v>0</v>
      </c>
      <c r="G321" s="651"/>
      <c r="H321" s="593">
        <v>0</v>
      </c>
      <c r="I321" s="98">
        <f t="shared" si="18"/>
        <v>0</v>
      </c>
      <c r="J321" s="98">
        <f t="shared" si="18"/>
        <v>0</v>
      </c>
      <c r="K321" s="96">
        <f t="shared" si="19"/>
        <v>0</v>
      </c>
      <c r="L321" s="96"/>
      <c r="M321" s="96">
        <f t="shared" si="20"/>
        <v>0</v>
      </c>
      <c r="N321" s="107">
        <f>SUMIF([1]CRJ!$H$880:$H$894,B321:B726,[1]CRJ!$J$880:$J$894)</f>
        <v>0</v>
      </c>
      <c r="O321" s="100">
        <f>SUMIF([1]CRJ!$H$880:$H$894,B321:B726,[1]CRJ!$K$880:$K$894)</f>
        <v>0</v>
      </c>
      <c r="P321" s="100">
        <f>SUMIF([1]ChkDJ!$H$849:$H$867,B321:B726,[1]ChkDJ!$J$849:$J$867)</f>
        <v>0</v>
      </c>
      <c r="Q321" s="100">
        <f>SUMIF([1]ChkDJ!$H$849:$H$867,B321:B726,[1]ChkDJ!$K$849:$K$867)</f>
        <v>0</v>
      </c>
      <c r="R321" s="100">
        <f>SUMIF([1]CDJ!$H$190:$H$197,B321:B726,[1]CDJ!$J$190:$J$197)</f>
        <v>0</v>
      </c>
      <c r="S321" s="100">
        <f>SUMIF([1]CDJ!$H$190:$H$197,B321:B726,[1]CDJ!$K$190:$K$197)</f>
        <v>0</v>
      </c>
      <c r="T321" s="102">
        <f>SUMIF([1]GL!$H$448:$H$480,B321:B731,[1]GL!$J$448:$J$487)</f>
        <v>0</v>
      </c>
      <c r="U321" s="100">
        <f>SUMIF([1]GL!$H$448:$H$480,B321:B731,[1]GL!$K$448:$K$487)</f>
        <v>0</v>
      </c>
      <c r="V321" s="102"/>
      <c r="W321" s="100"/>
      <c r="X321" s="101"/>
      <c r="Y321" s="353"/>
    </row>
    <row r="322" spans="1:25" s="350" customFormat="1" ht="15.75" hidden="1" customHeight="1">
      <c r="A322" s="427" t="s">
        <v>729</v>
      </c>
      <c r="B322" s="423">
        <v>792</v>
      </c>
      <c r="C322" s="94">
        <f t="shared" si="17"/>
        <v>0</v>
      </c>
      <c r="D322" s="94"/>
      <c r="E322" s="420"/>
      <c r="F322" s="650">
        <v>0</v>
      </c>
      <c r="G322" s="651"/>
      <c r="H322" s="593">
        <v>0</v>
      </c>
      <c r="I322" s="98">
        <f t="shared" si="18"/>
        <v>0</v>
      </c>
      <c r="J322" s="98">
        <f t="shared" si="18"/>
        <v>0</v>
      </c>
      <c r="K322" s="96">
        <f t="shared" si="19"/>
        <v>0</v>
      </c>
      <c r="L322" s="96"/>
      <c r="M322" s="96">
        <f t="shared" si="20"/>
        <v>0</v>
      </c>
      <c r="N322" s="107">
        <f>SUMIF([1]CRJ!$H$880:$H$894,B322:B727,[1]CRJ!$J$880:$J$894)</f>
        <v>0</v>
      </c>
      <c r="O322" s="100">
        <f>SUMIF([1]CRJ!$H$880:$H$894,B322:B727,[1]CRJ!$K$880:$K$894)</f>
        <v>0</v>
      </c>
      <c r="P322" s="100">
        <f>SUMIF([1]ChkDJ!$H$849:$H$867,B322:B727,[1]ChkDJ!$J$849:$J$867)</f>
        <v>0</v>
      </c>
      <c r="Q322" s="100">
        <f>SUMIF([1]ChkDJ!$H$849:$H$867,B322:B727,[1]ChkDJ!$K$849:$K$867)</f>
        <v>0</v>
      </c>
      <c r="R322" s="100">
        <f>SUMIF([1]CDJ!$H$190:$H$197,B322:B727,[1]CDJ!$J$190:$J$197)</f>
        <v>0</v>
      </c>
      <c r="S322" s="100">
        <f>SUMIF([1]CDJ!$H$190:$H$197,B322:B727,[1]CDJ!$K$190:$K$197)</f>
        <v>0</v>
      </c>
      <c r="T322" s="102">
        <f>SUMIF([1]GL!$H$448:$H$480,B322:B732,[1]GL!$J$448:$J$487)</f>
        <v>0</v>
      </c>
      <c r="U322" s="100">
        <f>SUMIF([1]GL!$H$448:$H$480,B322:B732,[1]GL!$K$448:$K$487)</f>
        <v>0</v>
      </c>
      <c r="V322" s="102"/>
      <c r="W322" s="100"/>
      <c r="X322" s="101"/>
      <c r="Y322" s="353"/>
    </row>
    <row r="323" spans="1:25" s="350" customFormat="1" ht="15.75" hidden="1" customHeight="1">
      <c r="A323" s="427" t="s">
        <v>730</v>
      </c>
      <c r="B323" s="423">
        <v>793</v>
      </c>
      <c r="C323" s="94">
        <f t="shared" si="17"/>
        <v>0</v>
      </c>
      <c r="D323" s="94"/>
      <c r="E323" s="420"/>
      <c r="F323" s="650">
        <v>0</v>
      </c>
      <c r="G323" s="651"/>
      <c r="H323" s="593">
        <v>0</v>
      </c>
      <c r="I323" s="98">
        <f t="shared" si="18"/>
        <v>0</v>
      </c>
      <c r="J323" s="98">
        <f t="shared" si="18"/>
        <v>0</v>
      </c>
      <c r="K323" s="96">
        <f t="shared" si="19"/>
        <v>0</v>
      </c>
      <c r="L323" s="96"/>
      <c r="M323" s="96">
        <f t="shared" si="20"/>
        <v>0</v>
      </c>
      <c r="N323" s="107">
        <f>SUMIF([1]CRJ!$H$880:$H$894,B323:B728,[1]CRJ!$J$880:$J$894)</f>
        <v>0</v>
      </c>
      <c r="O323" s="100">
        <f>SUMIF([1]CRJ!$H$880:$H$894,B323:B728,[1]CRJ!$K$880:$K$894)</f>
        <v>0</v>
      </c>
      <c r="P323" s="100">
        <f>SUMIF([1]ChkDJ!$H$849:$H$867,B323:B728,[1]ChkDJ!$J$849:$J$867)</f>
        <v>0</v>
      </c>
      <c r="Q323" s="100">
        <f>SUMIF([1]ChkDJ!$H$849:$H$867,B323:B728,[1]ChkDJ!$K$849:$K$867)</f>
        <v>0</v>
      </c>
      <c r="R323" s="100">
        <f>SUMIF([1]CDJ!$H$190:$H$197,B323:B728,[1]CDJ!$J$190:$J$197)</f>
        <v>0</v>
      </c>
      <c r="S323" s="100">
        <f>SUMIF([1]CDJ!$H$190:$H$197,B323:B728,[1]CDJ!$K$190:$K$197)</f>
        <v>0</v>
      </c>
      <c r="T323" s="102">
        <f>SUMIF([1]GL!$H$448:$H$480,B323:B733,[1]GL!$J$448:$J$487)</f>
        <v>0</v>
      </c>
      <c r="U323" s="100">
        <f>SUMIF([1]GL!$H$448:$H$480,B323:B733,[1]GL!$K$448:$K$487)</f>
        <v>0</v>
      </c>
      <c r="V323" s="102"/>
      <c r="W323" s="100"/>
      <c r="X323" s="101"/>
      <c r="Y323" s="353"/>
    </row>
    <row r="324" spans="1:25" s="350" customFormat="1" ht="15.75" hidden="1" customHeight="1">
      <c r="A324" s="427" t="s">
        <v>731</v>
      </c>
      <c r="B324" s="423">
        <v>794</v>
      </c>
      <c r="C324" s="94">
        <f t="shared" si="17"/>
        <v>0</v>
      </c>
      <c r="D324" s="94"/>
      <c r="E324" s="420"/>
      <c r="F324" s="650">
        <v>0</v>
      </c>
      <c r="G324" s="651"/>
      <c r="H324" s="593">
        <v>0</v>
      </c>
      <c r="I324" s="98">
        <f t="shared" si="18"/>
        <v>0</v>
      </c>
      <c r="J324" s="98">
        <f t="shared" si="18"/>
        <v>0</v>
      </c>
      <c r="K324" s="96">
        <f t="shared" si="19"/>
        <v>0</v>
      </c>
      <c r="L324" s="96"/>
      <c r="M324" s="96">
        <f t="shared" si="20"/>
        <v>0</v>
      </c>
      <c r="N324" s="107">
        <f>SUMIF([1]CRJ!$H$880:$H$894,B324:B729,[1]CRJ!$J$880:$J$894)</f>
        <v>0</v>
      </c>
      <c r="O324" s="100">
        <f>SUMIF([1]CRJ!$H$880:$H$894,B324:B729,[1]CRJ!$K$880:$K$894)</f>
        <v>0</v>
      </c>
      <c r="P324" s="100">
        <f>SUMIF([1]ChkDJ!$H$849:$H$867,B324:B729,[1]ChkDJ!$J$849:$J$867)</f>
        <v>0</v>
      </c>
      <c r="Q324" s="100">
        <f>SUMIF([1]ChkDJ!$H$849:$H$867,B324:B729,[1]ChkDJ!$K$849:$K$867)</f>
        <v>0</v>
      </c>
      <c r="R324" s="100">
        <f>SUMIF([1]CDJ!$H$190:$H$197,B324:B729,[1]CDJ!$J$190:$J$197)</f>
        <v>0</v>
      </c>
      <c r="S324" s="100">
        <f>SUMIF([1]CDJ!$H$190:$H$197,B324:B729,[1]CDJ!$K$190:$K$197)</f>
        <v>0</v>
      </c>
      <c r="T324" s="102">
        <f>SUMIF([1]GL!$H$448:$H$480,B324:B734,[1]GL!$J$448:$J$487)</f>
        <v>0</v>
      </c>
      <c r="U324" s="100">
        <f>SUMIF([1]GL!$H$448:$H$480,B324:B734,[1]GL!$K$448:$K$487)</f>
        <v>0</v>
      </c>
      <c r="V324" s="102"/>
      <c r="W324" s="100"/>
      <c r="X324" s="101"/>
      <c r="Y324" s="353"/>
    </row>
    <row r="325" spans="1:25" s="350" customFormat="1" ht="15.75" hidden="1" customHeight="1">
      <c r="A325" s="427" t="s">
        <v>732</v>
      </c>
      <c r="B325" s="423">
        <v>795</v>
      </c>
      <c r="C325" s="94">
        <f t="shared" si="17"/>
        <v>0</v>
      </c>
      <c r="D325" s="94"/>
      <c r="E325" s="420"/>
      <c r="F325" s="650">
        <v>0</v>
      </c>
      <c r="G325" s="651"/>
      <c r="H325" s="593">
        <v>0</v>
      </c>
      <c r="I325" s="98">
        <f t="shared" si="18"/>
        <v>0</v>
      </c>
      <c r="J325" s="98">
        <f t="shared" si="18"/>
        <v>0</v>
      </c>
      <c r="K325" s="96">
        <f t="shared" si="19"/>
        <v>0</v>
      </c>
      <c r="L325" s="96"/>
      <c r="M325" s="96">
        <f t="shared" si="20"/>
        <v>0</v>
      </c>
      <c r="N325" s="107">
        <f>SUMIF([1]CRJ!$H$880:$H$894,B325:B730,[1]CRJ!$J$880:$J$894)</f>
        <v>0</v>
      </c>
      <c r="O325" s="100">
        <f>SUMIF([1]CRJ!$H$880:$H$894,B325:B730,[1]CRJ!$K$880:$K$894)</f>
        <v>0</v>
      </c>
      <c r="P325" s="100">
        <f>SUMIF([1]ChkDJ!$H$849:$H$867,B325:B730,[1]ChkDJ!$J$849:$J$867)</f>
        <v>0</v>
      </c>
      <c r="Q325" s="100">
        <f>SUMIF([1]ChkDJ!$H$849:$H$867,B325:B730,[1]ChkDJ!$K$849:$K$867)</f>
        <v>0</v>
      </c>
      <c r="R325" s="100">
        <f>SUMIF([1]CDJ!$H$190:$H$197,B325:B730,[1]CDJ!$J$190:$J$197)</f>
        <v>0</v>
      </c>
      <c r="S325" s="100">
        <f>SUMIF([1]CDJ!$H$190:$H$197,B325:B730,[1]CDJ!$K$190:$K$197)</f>
        <v>0</v>
      </c>
      <c r="T325" s="102">
        <f>SUMIF([1]GL!$H$448:$H$480,B325:B735,[1]GL!$J$448:$J$487)</f>
        <v>0</v>
      </c>
      <c r="U325" s="100">
        <f>SUMIF([1]GL!$H$448:$H$480,B325:B735,[1]GL!$K$448:$K$487)</f>
        <v>0</v>
      </c>
      <c r="V325" s="102"/>
      <c r="W325" s="100"/>
      <c r="X325" s="101"/>
      <c r="Y325" s="353"/>
    </row>
    <row r="326" spans="1:25" s="350" customFormat="1" ht="15.75" hidden="1" customHeight="1">
      <c r="A326" s="427" t="s">
        <v>733</v>
      </c>
      <c r="B326" s="423">
        <v>796</v>
      </c>
      <c r="C326" s="94">
        <f t="shared" si="17"/>
        <v>0</v>
      </c>
      <c r="D326" s="94"/>
      <c r="E326" s="420"/>
      <c r="F326" s="650">
        <v>0</v>
      </c>
      <c r="G326" s="651"/>
      <c r="H326" s="593">
        <v>0</v>
      </c>
      <c r="I326" s="98">
        <f t="shared" si="18"/>
        <v>0</v>
      </c>
      <c r="J326" s="98">
        <f t="shared" si="18"/>
        <v>0</v>
      </c>
      <c r="K326" s="96">
        <f t="shared" si="19"/>
        <v>0</v>
      </c>
      <c r="L326" s="96"/>
      <c r="M326" s="96">
        <f t="shared" si="20"/>
        <v>0</v>
      </c>
      <c r="N326" s="107">
        <f>SUMIF([1]CRJ!$H$880:$H$894,B326:B731,[1]CRJ!$J$880:$J$894)</f>
        <v>0</v>
      </c>
      <c r="O326" s="100">
        <f>SUMIF([1]CRJ!$H$880:$H$894,B326:B731,[1]CRJ!$K$880:$K$894)</f>
        <v>0</v>
      </c>
      <c r="P326" s="100">
        <f>SUMIF([1]ChkDJ!$H$849:$H$867,B326:B731,[1]ChkDJ!$J$849:$J$867)</f>
        <v>0</v>
      </c>
      <c r="Q326" s="100">
        <f>SUMIF([1]ChkDJ!$H$849:$H$867,B326:B731,[1]ChkDJ!$K$849:$K$867)</f>
        <v>0</v>
      </c>
      <c r="R326" s="100">
        <f>SUMIF([1]CDJ!$H$190:$H$197,B326:B731,[1]CDJ!$J$190:$J$197)</f>
        <v>0</v>
      </c>
      <c r="S326" s="100">
        <f>SUMIF([1]CDJ!$H$190:$H$197,B326:B731,[1]CDJ!$K$190:$K$197)</f>
        <v>0</v>
      </c>
      <c r="T326" s="102">
        <f>SUMIF([1]GL!$H$448:$H$480,B326:B736,[1]GL!$J$448:$J$487)</f>
        <v>0</v>
      </c>
      <c r="U326" s="100">
        <f>SUMIF([1]GL!$H$448:$H$480,B326:B736,[1]GL!$K$448:$K$487)</f>
        <v>0</v>
      </c>
      <c r="V326" s="102"/>
      <c r="W326" s="100"/>
      <c r="X326" s="101"/>
      <c r="Y326" s="353"/>
    </row>
    <row r="327" spans="1:25" s="350" customFormat="1" ht="15.75" hidden="1" customHeight="1">
      <c r="A327" s="427" t="s">
        <v>734</v>
      </c>
      <c r="B327" s="423">
        <v>797</v>
      </c>
      <c r="C327" s="94">
        <f t="shared" si="17"/>
        <v>0</v>
      </c>
      <c r="D327" s="94"/>
      <c r="E327" s="420"/>
      <c r="F327" s="650">
        <v>0</v>
      </c>
      <c r="G327" s="651"/>
      <c r="H327" s="593">
        <v>0</v>
      </c>
      <c r="I327" s="98">
        <f t="shared" si="18"/>
        <v>0</v>
      </c>
      <c r="J327" s="98">
        <f t="shared" si="18"/>
        <v>0</v>
      </c>
      <c r="K327" s="96">
        <f t="shared" si="19"/>
        <v>0</v>
      </c>
      <c r="L327" s="96"/>
      <c r="M327" s="96">
        <f t="shared" si="20"/>
        <v>0</v>
      </c>
      <c r="N327" s="107">
        <f>SUMIF([1]CRJ!$H$880:$H$894,B327:B732,[1]CRJ!$J$880:$J$894)</f>
        <v>0</v>
      </c>
      <c r="O327" s="100">
        <f>SUMIF([1]CRJ!$H$880:$H$894,B327:B732,[1]CRJ!$K$880:$K$894)</f>
        <v>0</v>
      </c>
      <c r="P327" s="100">
        <f>SUMIF([1]ChkDJ!$H$849:$H$867,B327:B732,[1]ChkDJ!$J$849:$J$867)</f>
        <v>0</v>
      </c>
      <c r="Q327" s="100">
        <f>SUMIF([1]ChkDJ!$H$849:$H$867,B327:B732,[1]ChkDJ!$K$849:$K$867)</f>
        <v>0</v>
      </c>
      <c r="R327" s="100">
        <f>SUMIF([1]CDJ!$H$190:$H$197,B327:B732,[1]CDJ!$J$190:$J$197)</f>
        <v>0</v>
      </c>
      <c r="S327" s="100">
        <f>SUMIF([1]CDJ!$H$190:$H$197,B327:B732,[1]CDJ!$K$190:$K$197)</f>
        <v>0</v>
      </c>
      <c r="T327" s="102">
        <f>SUMIF([1]GL!$H$448:$H$480,B327:B737,[1]GL!$J$448:$J$487)</f>
        <v>0</v>
      </c>
      <c r="U327" s="100">
        <f>SUMIF([1]GL!$H$448:$H$480,B327:B737,[1]GL!$K$448:$K$487)</f>
        <v>0</v>
      </c>
      <c r="V327" s="102"/>
      <c r="W327" s="100"/>
      <c r="X327" s="101"/>
      <c r="Y327" s="353"/>
    </row>
    <row r="328" spans="1:25" s="105" customFormat="1" ht="15.75">
      <c r="A328" s="93" t="s">
        <v>70</v>
      </c>
      <c r="B328" s="513">
        <v>799</v>
      </c>
      <c r="C328" s="94">
        <f t="shared" si="17"/>
        <v>2065761.1199999999</v>
      </c>
      <c r="D328" s="94"/>
      <c r="E328" s="94"/>
      <c r="F328" s="653">
        <v>1867974.19</v>
      </c>
      <c r="G328" s="98"/>
      <c r="H328" s="96">
        <v>0</v>
      </c>
      <c r="I328" s="98">
        <f t="shared" si="18"/>
        <v>197786.93</v>
      </c>
      <c r="J328" s="98">
        <f t="shared" si="18"/>
        <v>0</v>
      </c>
      <c r="K328" s="96">
        <f t="shared" si="19"/>
        <v>2065761.1199999999</v>
      </c>
      <c r="L328" s="96"/>
      <c r="M328" s="96">
        <f t="shared" si="20"/>
        <v>0</v>
      </c>
      <c r="N328" s="107">
        <f>SUMIF([1]CRJ!$H$880:$H$894,B328:B733,[1]CRJ!$J$880:$J$894)</f>
        <v>0</v>
      </c>
      <c r="O328" s="100">
        <f>SUMIF([1]CRJ!$H$880:$H$894,B328:B733,[1]CRJ!$K$880:$K$894)</f>
        <v>0</v>
      </c>
      <c r="P328" s="100">
        <f>SUMIF([1]ChkDJ!$H$849:$H$867,B328:B733,[1]ChkDJ!$J$849:$J$867)</f>
        <v>0</v>
      </c>
      <c r="Q328" s="100">
        <f>SUMIF([1]ChkDJ!$H$849:$H$867,B328:B733,[1]ChkDJ!$K$849:$K$867)</f>
        <v>0</v>
      </c>
      <c r="R328" s="100">
        <f>SUMIF([1]CDJ!$H$190:$H$197,B328:B733,[1]CDJ!$J$190:$J$197)</f>
        <v>0</v>
      </c>
      <c r="S328" s="100">
        <f>SUMIF([1]CDJ!$H$190:$H$197,B328:B733,[1]CDJ!$K$190:$K$197)</f>
        <v>0</v>
      </c>
      <c r="T328" s="102">
        <f>SUMIF([1]GL!$H$448:$H$480,B328:B738,[1]GL!$J$448:$J$487)</f>
        <v>197786.93</v>
      </c>
      <c r="U328" s="100">
        <f>SUMIF([1]GL!$H$448:$H$480,B328:B738,[1]GL!$K$448:$K$487)</f>
        <v>0</v>
      </c>
      <c r="V328" s="102"/>
      <c r="W328" s="100"/>
      <c r="X328" s="101"/>
      <c r="Y328" s="353"/>
    </row>
    <row r="329" spans="1:25" s="350" customFormat="1" ht="15.75" hidden="1" customHeight="1">
      <c r="A329" s="427" t="s">
        <v>735</v>
      </c>
      <c r="B329" s="423">
        <v>802</v>
      </c>
      <c r="C329" s="94">
        <f t="shared" si="17"/>
        <v>0</v>
      </c>
      <c r="D329" s="94"/>
      <c r="E329" s="420"/>
      <c r="F329" s="650">
        <v>0</v>
      </c>
      <c r="G329" s="651"/>
      <c r="H329" s="593">
        <v>0</v>
      </c>
      <c r="I329" s="98">
        <f t="shared" ref="I329:J392" si="21">+N329+P329+R329+T329+V329+X329</f>
        <v>0</v>
      </c>
      <c r="J329" s="98">
        <f t="shared" si="21"/>
        <v>0</v>
      </c>
      <c r="K329" s="96">
        <f t="shared" si="19"/>
        <v>0</v>
      </c>
      <c r="L329" s="96"/>
      <c r="M329" s="96">
        <f t="shared" si="20"/>
        <v>0</v>
      </c>
      <c r="N329" s="107">
        <f>SUMIF([1]CRJ!$H$880:$H$894,B329:B734,[1]CRJ!$J$880:$J$894)</f>
        <v>0</v>
      </c>
      <c r="O329" s="100">
        <f>SUMIF([1]CRJ!$H$880:$H$894,B329:B734,[1]CRJ!$K$880:$K$894)</f>
        <v>0</v>
      </c>
      <c r="P329" s="100">
        <f>SUMIF([1]ChkDJ!$H$849:$H$867,B329:B734,[1]ChkDJ!$J$849:$J$867)</f>
        <v>0</v>
      </c>
      <c r="Q329" s="100">
        <f>SUMIF([1]ChkDJ!$H$849:$H$867,B329:B734,[1]ChkDJ!$K$849:$K$867)</f>
        <v>0</v>
      </c>
      <c r="R329" s="100">
        <f>SUMIF([1]CDJ!$H$190:$H$197,B329:B734,[1]CDJ!$J$190:$J$197)</f>
        <v>0</v>
      </c>
      <c r="S329" s="100">
        <f>SUMIF([1]CDJ!$H$190:$H$197,B329:B734,[1]CDJ!$K$190:$K$197)</f>
        <v>0</v>
      </c>
      <c r="T329" s="102">
        <f>SUMIF([1]GL!$H$448:$H$480,B329:B739,[1]GL!$J$448:$J$487)</f>
        <v>0</v>
      </c>
      <c r="U329" s="100">
        <f>SUMIF([1]GL!$H$448:$H$480,B329:B739,[1]GL!$K$448:$K$487)</f>
        <v>0</v>
      </c>
      <c r="V329" s="102"/>
      <c r="W329" s="100"/>
      <c r="X329" s="101"/>
      <c r="Y329" s="353"/>
    </row>
    <row r="330" spans="1:25" s="350" customFormat="1" ht="15.75" hidden="1" customHeight="1">
      <c r="A330" s="427" t="s">
        <v>736</v>
      </c>
      <c r="B330" s="423">
        <v>805</v>
      </c>
      <c r="C330" s="94">
        <f t="shared" si="17"/>
        <v>0</v>
      </c>
      <c r="D330" s="94"/>
      <c r="E330" s="420"/>
      <c r="F330" s="650">
        <v>0</v>
      </c>
      <c r="G330" s="651"/>
      <c r="H330" s="593">
        <v>0</v>
      </c>
      <c r="I330" s="98">
        <f t="shared" si="21"/>
        <v>0</v>
      </c>
      <c r="J330" s="98">
        <f t="shared" si="21"/>
        <v>0</v>
      </c>
      <c r="K330" s="96">
        <f t="shared" si="19"/>
        <v>0</v>
      </c>
      <c r="L330" s="96"/>
      <c r="M330" s="96">
        <f t="shared" si="20"/>
        <v>0</v>
      </c>
      <c r="N330" s="107">
        <f>SUMIF([1]CRJ!$H$880:$H$894,B330:B735,[1]CRJ!$J$880:$J$894)</f>
        <v>0</v>
      </c>
      <c r="O330" s="100">
        <f>SUMIF([1]CRJ!$H$880:$H$894,B330:B735,[1]CRJ!$K$880:$K$894)</f>
        <v>0</v>
      </c>
      <c r="P330" s="100">
        <f>SUMIF([1]ChkDJ!$H$849:$H$867,B330:B735,[1]ChkDJ!$J$849:$J$867)</f>
        <v>0</v>
      </c>
      <c r="Q330" s="100">
        <f>SUMIF([1]ChkDJ!$H$849:$H$867,B330:B735,[1]ChkDJ!$K$849:$K$867)</f>
        <v>0</v>
      </c>
      <c r="R330" s="100">
        <f>SUMIF([1]CDJ!$H$190:$H$197,B330:B735,[1]CDJ!$J$190:$J$197)</f>
        <v>0</v>
      </c>
      <c r="S330" s="100">
        <f>SUMIF([1]CDJ!$H$190:$H$197,B330:B735,[1]CDJ!$K$190:$K$197)</f>
        <v>0</v>
      </c>
      <c r="T330" s="102">
        <f>SUMIF([1]GL!$H$448:$H$480,B330:B740,[1]GL!$J$448:$J$487)</f>
        <v>0</v>
      </c>
      <c r="U330" s="100">
        <f>SUMIF([1]GL!$H$448:$H$480,B330:B740,[1]GL!$K$448:$K$487)</f>
        <v>0</v>
      </c>
      <c r="V330" s="102"/>
      <c r="W330" s="100"/>
      <c r="X330" s="101"/>
      <c r="Y330" s="353"/>
    </row>
    <row r="331" spans="1:25" s="350" customFormat="1" ht="15.75" hidden="1" customHeight="1">
      <c r="A331" s="427" t="s">
        <v>737</v>
      </c>
      <c r="B331" s="423">
        <v>811</v>
      </c>
      <c r="C331" s="94">
        <f t="shared" si="17"/>
        <v>0</v>
      </c>
      <c r="D331" s="94"/>
      <c r="E331" s="420"/>
      <c r="F331" s="650">
        <v>0</v>
      </c>
      <c r="G331" s="651"/>
      <c r="H331" s="593">
        <v>0</v>
      </c>
      <c r="I331" s="98">
        <f t="shared" si="21"/>
        <v>0</v>
      </c>
      <c r="J331" s="98">
        <f t="shared" si="21"/>
        <v>0</v>
      </c>
      <c r="K331" s="96">
        <f t="shared" si="19"/>
        <v>0</v>
      </c>
      <c r="L331" s="96"/>
      <c r="M331" s="96">
        <f t="shared" si="20"/>
        <v>0</v>
      </c>
      <c r="N331" s="107">
        <f>SUMIF([1]CRJ!$H$880:$H$894,B331:B736,[1]CRJ!$J$880:$J$894)</f>
        <v>0</v>
      </c>
      <c r="O331" s="100">
        <f>SUMIF([1]CRJ!$H$880:$H$894,B331:B736,[1]CRJ!$K$880:$K$894)</f>
        <v>0</v>
      </c>
      <c r="P331" s="100">
        <f>SUMIF([1]ChkDJ!$H$849:$H$867,B331:B736,[1]ChkDJ!$J$849:$J$867)</f>
        <v>0</v>
      </c>
      <c r="Q331" s="100">
        <f>SUMIF([1]ChkDJ!$H$849:$H$867,B331:B736,[1]ChkDJ!$K$849:$K$867)</f>
        <v>0</v>
      </c>
      <c r="R331" s="100">
        <f>SUMIF([1]CDJ!$H$190:$H$197,B331:B736,[1]CDJ!$J$190:$J$197)</f>
        <v>0</v>
      </c>
      <c r="S331" s="100">
        <f>SUMIF([1]CDJ!$H$190:$H$197,B331:B736,[1]CDJ!$K$190:$K$197)</f>
        <v>0</v>
      </c>
      <c r="T331" s="102">
        <f>SUMIF([1]GL!$H$448:$H$480,B331:B741,[1]GL!$J$448:$J$487)</f>
        <v>0</v>
      </c>
      <c r="U331" s="100">
        <f>SUMIF([1]GL!$H$448:$H$480,B331:B741,[1]GL!$K$448:$K$487)</f>
        <v>0</v>
      </c>
      <c r="V331" s="102"/>
      <c r="W331" s="100"/>
      <c r="X331" s="101"/>
      <c r="Y331" s="353"/>
    </row>
    <row r="332" spans="1:25" s="105" customFormat="1" ht="15.75" hidden="1" customHeight="1">
      <c r="A332" s="93" t="s">
        <v>272</v>
      </c>
      <c r="B332" s="513">
        <v>812</v>
      </c>
      <c r="C332" s="94">
        <f t="shared" si="17"/>
        <v>0</v>
      </c>
      <c r="D332" s="94"/>
      <c r="E332" s="94"/>
      <c r="F332" s="653">
        <v>0</v>
      </c>
      <c r="G332" s="98"/>
      <c r="H332" s="96">
        <v>0</v>
      </c>
      <c r="I332" s="98">
        <f t="shared" si="21"/>
        <v>0</v>
      </c>
      <c r="J332" s="98">
        <f t="shared" si="21"/>
        <v>0</v>
      </c>
      <c r="K332" s="96">
        <f t="shared" ref="K332:K395" si="22">+F332+I332</f>
        <v>0</v>
      </c>
      <c r="L332" s="96"/>
      <c r="M332" s="96">
        <f t="shared" si="20"/>
        <v>0</v>
      </c>
      <c r="N332" s="107">
        <f>SUMIF([1]CRJ!$H$880:$H$894,B332:B737,[1]CRJ!$J$880:$J$894)</f>
        <v>0</v>
      </c>
      <c r="O332" s="100">
        <f>SUMIF([1]CRJ!$H$880:$H$894,B332:B737,[1]CRJ!$K$880:$K$894)</f>
        <v>0</v>
      </c>
      <c r="P332" s="100">
        <f>SUMIF([1]ChkDJ!$H$849:$H$867,B332:B737,[1]ChkDJ!$J$849:$J$867)</f>
        <v>0</v>
      </c>
      <c r="Q332" s="100">
        <f>SUMIF([1]ChkDJ!$H$849:$H$867,B332:B737,[1]ChkDJ!$K$849:$K$867)</f>
        <v>0</v>
      </c>
      <c r="R332" s="100">
        <f>SUMIF([1]CDJ!$H$190:$H$197,B332:B737,[1]CDJ!$J$190:$J$197)</f>
        <v>0</v>
      </c>
      <c r="S332" s="100">
        <f>SUMIF([1]CDJ!$H$190:$H$197,B332:B737,[1]CDJ!$K$190:$K$197)</f>
        <v>0</v>
      </c>
      <c r="T332" s="102">
        <f>SUMIF([1]GL!$H$448:$H$480,B332:B742,[1]GL!$J$448:$J$487)</f>
        <v>0</v>
      </c>
      <c r="U332" s="100">
        <f>SUMIF([1]GL!$H$448:$H$480,B332:B742,[1]GL!$K$448:$K$487)</f>
        <v>0</v>
      </c>
      <c r="V332" s="102"/>
      <c r="W332" s="100"/>
      <c r="X332" s="101"/>
      <c r="Y332" s="353"/>
    </row>
    <row r="333" spans="1:25" s="350" customFormat="1" ht="15.75" hidden="1" customHeight="1">
      <c r="A333" s="427" t="s">
        <v>738</v>
      </c>
      <c r="B333" s="423">
        <v>813</v>
      </c>
      <c r="C333" s="94">
        <f t="shared" si="17"/>
        <v>0</v>
      </c>
      <c r="D333" s="94"/>
      <c r="E333" s="420"/>
      <c r="F333" s="650">
        <v>0</v>
      </c>
      <c r="G333" s="651"/>
      <c r="H333" s="593">
        <v>0</v>
      </c>
      <c r="I333" s="98">
        <f t="shared" si="21"/>
        <v>0</v>
      </c>
      <c r="J333" s="98">
        <f t="shared" si="21"/>
        <v>0</v>
      </c>
      <c r="K333" s="96">
        <f t="shared" si="22"/>
        <v>0</v>
      </c>
      <c r="L333" s="96"/>
      <c r="M333" s="96">
        <f t="shared" ref="M333:M396" si="23">+H333+J333</f>
        <v>0</v>
      </c>
      <c r="N333" s="107">
        <f>SUMIF([1]CRJ!$H$880:$H$894,B333:B738,[1]CRJ!$J$880:$J$894)</f>
        <v>0</v>
      </c>
      <c r="O333" s="100">
        <f>SUMIF([1]CRJ!$H$880:$H$894,B333:B738,[1]CRJ!$K$880:$K$894)</f>
        <v>0</v>
      </c>
      <c r="P333" s="100">
        <f>SUMIF([1]ChkDJ!$H$849:$H$867,B333:B738,[1]ChkDJ!$J$849:$J$867)</f>
        <v>0</v>
      </c>
      <c r="Q333" s="100">
        <f>SUMIF([1]ChkDJ!$H$849:$H$867,B333:B738,[1]ChkDJ!$K$849:$K$867)</f>
        <v>0</v>
      </c>
      <c r="R333" s="100">
        <f>SUMIF([1]CDJ!$H$190:$H$197,B333:B738,[1]CDJ!$J$190:$J$197)</f>
        <v>0</v>
      </c>
      <c r="S333" s="100">
        <f>SUMIF([1]CDJ!$H$190:$H$197,B333:B738,[1]CDJ!$K$190:$K$197)</f>
        <v>0</v>
      </c>
      <c r="T333" s="102">
        <f>SUMIF([1]GL!$H$448:$H$480,B333:B743,[1]GL!$J$448:$J$487)</f>
        <v>0</v>
      </c>
      <c r="U333" s="100">
        <f>SUMIF([1]GL!$H$448:$H$480,B333:B743,[1]GL!$K$448:$K$487)</f>
        <v>0</v>
      </c>
      <c r="V333" s="102"/>
      <c r="W333" s="100"/>
      <c r="X333" s="101"/>
      <c r="Y333" s="353"/>
    </row>
    <row r="334" spans="1:25" s="350" customFormat="1" ht="15.75" hidden="1" customHeight="1">
      <c r="A334" s="427" t="s">
        <v>739</v>
      </c>
      <c r="B334" s="423">
        <v>814</v>
      </c>
      <c r="C334" s="94">
        <f t="shared" si="17"/>
        <v>0</v>
      </c>
      <c r="D334" s="94"/>
      <c r="E334" s="420"/>
      <c r="F334" s="650">
        <v>0</v>
      </c>
      <c r="G334" s="651"/>
      <c r="H334" s="593">
        <v>0</v>
      </c>
      <c r="I334" s="98">
        <f t="shared" si="21"/>
        <v>0</v>
      </c>
      <c r="J334" s="98">
        <f t="shared" si="21"/>
        <v>0</v>
      </c>
      <c r="K334" s="96">
        <f t="shared" si="22"/>
        <v>0</v>
      </c>
      <c r="L334" s="96"/>
      <c r="M334" s="96">
        <f t="shared" si="23"/>
        <v>0</v>
      </c>
      <c r="N334" s="107">
        <f>SUMIF([1]CRJ!$H$880:$H$894,B334:B739,[1]CRJ!$J$880:$J$894)</f>
        <v>0</v>
      </c>
      <c r="O334" s="100">
        <f>SUMIF([1]CRJ!$H$880:$H$894,B334:B739,[1]CRJ!$K$880:$K$894)</f>
        <v>0</v>
      </c>
      <c r="P334" s="100">
        <f>SUMIF([1]ChkDJ!$H$849:$H$867,B334:B739,[1]ChkDJ!$J$849:$J$867)</f>
        <v>0</v>
      </c>
      <c r="Q334" s="100">
        <f>SUMIF([1]ChkDJ!$H$849:$H$867,B334:B739,[1]ChkDJ!$K$849:$K$867)</f>
        <v>0</v>
      </c>
      <c r="R334" s="100">
        <f>SUMIF([1]CDJ!$H$190:$H$197,B334:B739,[1]CDJ!$J$190:$J$197)</f>
        <v>0</v>
      </c>
      <c r="S334" s="100">
        <f>SUMIF([1]CDJ!$H$190:$H$197,B334:B739,[1]CDJ!$K$190:$K$197)</f>
        <v>0</v>
      </c>
      <c r="T334" s="102">
        <f>SUMIF([1]GL!$H$448:$H$480,B334:B744,[1]GL!$J$448:$J$487)</f>
        <v>0</v>
      </c>
      <c r="U334" s="100">
        <f>SUMIF([1]GL!$H$448:$H$480,B334:B744,[1]GL!$K$448:$K$487)</f>
        <v>0</v>
      </c>
      <c r="V334" s="102"/>
      <c r="W334" s="100"/>
      <c r="X334" s="101"/>
      <c r="Y334" s="353"/>
    </row>
    <row r="335" spans="1:25" s="105" customFormat="1" ht="15.75" hidden="1">
      <c r="A335" s="93" t="s">
        <v>273</v>
      </c>
      <c r="B335" s="513">
        <v>815</v>
      </c>
      <c r="C335" s="94">
        <f t="shared" si="17"/>
        <v>0</v>
      </c>
      <c r="D335" s="94"/>
      <c r="E335" s="94"/>
      <c r="F335" s="653">
        <v>0</v>
      </c>
      <c r="G335" s="98"/>
      <c r="H335" s="96">
        <v>0</v>
      </c>
      <c r="I335" s="98">
        <f t="shared" si="21"/>
        <v>0</v>
      </c>
      <c r="J335" s="98">
        <f t="shared" si="21"/>
        <v>0</v>
      </c>
      <c r="K335" s="96">
        <f t="shared" si="22"/>
        <v>0</v>
      </c>
      <c r="L335" s="96"/>
      <c r="M335" s="96">
        <f t="shared" si="23"/>
        <v>0</v>
      </c>
      <c r="N335" s="107">
        <f>SUMIF([1]CRJ!$H$880:$H$894,B335:B740,[1]CRJ!$J$880:$J$894)</f>
        <v>0</v>
      </c>
      <c r="O335" s="100">
        <f>SUMIF([1]CRJ!$H$880:$H$894,B335:B740,[1]CRJ!$K$880:$K$894)</f>
        <v>0</v>
      </c>
      <c r="P335" s="100">
        <f>SUMIF([1]ChkDJ!$H$849:$H$867,B335:B740,[1]ChkDJ!$J$849:$J$867)</f>
        <v>0</v>
      </c>
      <c r="Q335" s="100">
        <f>SUMIF([1]ChkDJ!$H$849:$H$867,B335:B740,[1]ChkDJ!$K$849:$K$867)</f>
        <v>0</v>
      </c>
      <c r="R335" s="100">
        <f>SUMIF([1]CDJ!$H$190:$H$197,B335:B740,[1]CDJ!$J$190:$J$197)</f>
        <v>0</v>
      </c>
      <c r="S335" s="100">
        <f>SUMIF([1]CDJ!$H$190:$H$197,B335:B740,[1]CDJ!$K$190:$K$197)</f>
        <v>0</v>
      </c>
      <c r="T335" s="102">
        <f>SUMIF([1]GL!$H$448:$H$480,B335:B745,[1]GL!$J$448:$J$487)</f>
        <v>0</v>
      </c>
      <c r="U335" s="100">
        <f>SUMIF([1]GL!$H$448:$H$480,B335:B745,[1]GL!$K$448:$K$487)</f>
        <v>0</v>
      </c>
      <c r="V335" s="102"/>
      <c r="W335" s="100"/>
      <c r="X335" s="101"/>
      <c r="Y335" s="353"/>
    </row>
    <row r="336" spans="1:25" s="350" customFormat="1" ht="15.75" hidden="1" customHeight="1">
      <c r="A336" s="428" t="s">
        <v>740</v>
      </c>
      <c r="B336" s="423">
        <v>818</v>
      </c>
      <c r="C336" s="94">
        <f t="shared" si="17"/>
        <v>0</v>
      </c>
      <c r="D336" s="94"/>
      <c r="E336" s="420"/>
      <c r="F336" s="650">
        <v>0</v>
      </c>
      <c r="G336" s="651"/>
      <c r="H336" s="593">
        <v>0</v>
      </c>
      <c r="I336" s="98">
        <f t="shared" si="21"/>
        <v>0</v>
      </c>
      <c r="J336" s="98">
        <f t="shared" si="21"/>
        <v>0</v>
      </c>
      <c r="K336" s="96">
        <f t="shared" si="22"/>
        <v>0</v>
      </c>
      <c r="L336" s="96"/>
      <c r="M336" s="96">
        <f t="shared" si="23"/>
        <v>0</v>
      </c>
      <c r="N336" s="107">
        <f>SUMIF([1]CRJ!$H$880:$H$894,B336:B741,[1]CRJ!$J$880:$J$894)</f>
        <v>0</v>
      </c>
      <c r="O336" s="100">
        <f>SUMIF([1]CRJ!$H$880:$H$894,B336:B741,[1]CRJ!$K$880:$K$894)</f>
        <v>0</v>
      </c>
      <c r="P336" s="100">
        <f>SUMIF([1]ChkDJ!$H$849:$H$867,B336:B741,[1]ChkDJ!$J$849:$J$867)</f>
        <v>0</v>
      </c>
      <c r="Q336" s="100">
        <f>SUMIF([1]ChkDJ!$H$849:$H$867,B336:B741,[1]ChkDJ!$K$849:$K$867)</f>
        <v>0</v>
      </c>
      <c r="R336" s="100">
        <f>SUMIF([1]CDJ!$H$190:$H$197,B336:B741,[1]CDJ!$J$190:$J$197)</f>
        <v>0</v>
      </c>
      <c r="S336" s="100">
        <f>SUMIF([1]CDJ!$H$190:$H$197,B336:B741,[1]CDJ!$K$190:$K$197)</f>
        <v>0</v>
      </c>
      <c r="T336" s="102">
        <f>SUMIF([1]GL!$H$448:$H$480,B336:B746,[1]GL!$J$448:$J$487)</f>
        <v>0</v>
      </c>
      <c r="U336" s="100">
        <f>SUMIF([1]GL!$H$448:$H$480,B336:B746,[1]GL!$K$448:$K$487)</f>
        <v>0</v>
      </c>
      <c r="V336" s="102"/>
      <c r="W336" s="100"/>
      <c r="X336" s="101"/>
      <c r="Y336" s="353"/>
    </row>
    <row r="337" spans="1:25" s="350" customFormat="1" ht="15.75" hidden="1" customHeight="1">
      <c r="A337" s="428" t="s">
        <v>741</v>
      </c>
      <c r="B337" s="423">
        <v>819</v>
      </c>
      <c r="C337" s="94">
        <f t="shared" si="17"/>
        <v>0</v>
      </c>
      <c r="D337" s="94"/>
      <c r="E337" s="420"/>
      <c r="F337" s="650">
        <v>0</v>
      </c>
      <c r="G337" s="651"/>
      <c r="H337" s="593">
        <v>0</v>
      </c>
      <c r="I337" s="98">
        <f t="shared" si="21"/>
        <v>0</v>
      </c>
      <c r="J337" s="98">
        <f t="shared" si="21"/>
        <v>0</v>
      </c>
      <c r="K337" s="96">
        <f t="shared" si="22"/>
        <v>0</v>
      </c>
      <c r="L337" s="96"/>
      <c r="M337" s="96">
        <f t="shared" si="23"/>
        <v>0</v>
      </c>
      <c r="N337" s="107">
        <f>SUMIF([1]CRJ!$H$880:$H$894,B337:B742,[1]CRJ!$J$880:$J$894)</f>
        <v>0</v>
      </c>
      <c r="O337" s="100">
        <f>SUMIF([1]CRJ!$H$880:$H$894,B337:B742,[1]CRJ!$K$880:$K$894)</f>
        <v>0</v>
      </c>
      <c r="P337" s="100">
        <f>SUMIF([1]ChkDJ!$H$849:$H$867,B337:B742,[1]ChkDJ!$J$849:$J$867)</f>
        <v>0</v>
      </c>
      <c r="Q337" s="100">
        <f>SUMIF([1]ChkDJ!$H$849:$H$867,B337:B742,[1]ChkDJ!$K$849:$K$867)</f>
        <v>0</v>
      </c>
      <c r="R337" s="100">
        <f>SUMIF([1]CDJ!$H$190:$H$197,B337:B742,[1]CDJ!$J$190:$J$197)</f>
        <v>0</v>
      </c>
      <c r="S337" s="100">
        <f>SUMIF([1]CDJ!$H$190:$H$197,B337:B742,[1]CDJ!$K$190:$K$197)</f>
        <v>0</v>
      </c>
      <c r="T337" s="102">
        <f>SUMIF([1]GL!$H$448:$H$480,B337:B747,[1]GL!$J$448:$J$487)</f>
        <v>0</v>
      </c>
      <c r="U337" s="100">
        <f>SUMIF([1]GL!$H$448:$H$480,B337:B747,[1]GL!$K$448:$K$487)</f>
        <v>0</v>
      </c>
      <c r="V337" s="102"/>
      <c r="W337" s="100"/>
      <c r="X337" s="101"/>
      <c r="Y337" s="353"/>
    </row>
    <row r="338" spans="1:25" s="350" customFormat="1" ht="15.75" hidden="1" customHeight="1">
      <c r="A338" s="428" t="s">
        <v>742</v>
      </c>
      <c r="B338" s="423">
        <v>820</v>
      </c>
      <c r="C338" s="94">
        <f t="shared" si="17"/>
        <v>0</v>
      </c>
      <c r="D338" s="94"/>
      <c r="E338" s="420"/>
      <c r="F338" s="650">
        <v>0</v>
      </c>
      <c r="G338" s="651"/>
      <c r="H338" s="593">
        <v>0</v>
      </c>
      <c r="I338" s="98">
        <f t="shared" si="21"/>
        <v>0</v>
      </c>
      <c r="J338" s="98">
        <f t="shared" si="21"/>
        <v>0</v>
      </c>
      <c r="K338" s="96">
        <f t="shared" si="22"/>
        <v>0</v>
      </c>
      <c r="L338" s="96"/>
      <c r="M338" s="96">
        <f t="shared" si="23"/>
        <v>0</v>
      </c>
      <c r="N338" s="107">
        <f>SUMIF([1]CRJ!$H$880:$H$894,B338:B743,[1]CRJ!$J$880:$J$894)</f>
        <v>0</v>
      </c>
      <c r="O338" s="100">
        <f>SUMIF([1]CRJ!$H$880:$H$894,B338:B743,[1]CRJ!$K$880:$K$894)</f>
        <v>0</v>
      </c>
      <c r="P338" s="100">
        <f>SUMIF([1]ChkDJ!$H$849:$H$867,B338:B743,[1]ChkDJ!$J$849:$J$867)</f>
        <v>0</v>
      </c>
      <c r="Q338" s="100">
        <f>SUMIF([1]ChkDJ!$H$849:$H$867,B338:B743,[1]ChkDJ!$K$849:$K$867)</f>
        <v>0</v>
      </c>
      <c r="R338" s="100">
        <f>SUMIF([1]CDJ!$H$190:$H$197,B338:B743,[1]CDJ!$J$190:$J$197)</f>
        <v>0</v>
      </c>
      <c r="S338" s="100">
        <f>SUMIF([1]CDJ!$H$190:$H$197,B338:B743,[1]CDJ!$K$190:$K$197)</f>
        <v>0</v>
      </c>
      <c r="T338" s="102">
        <f>SUMIF([1]GL!$H$448:$H$480,B338:B748,[1]GL!$J$448:$J$487)</f>
        <v>0</v>
      </c>
      <c r="U338" s="100">
        <f>SUMIF([1]GL!$H$448:$H$480,B338:B748,[1]GL!$K$448:$K$487)</f>
        <v>0</v>
      </c>
      <c r="V338" s="102"/>
      <c r="W338" s="100"/>
      <c r="X338" s="101"/>
      <c r="Y338" s="353"/>
    </row>
    <row r="339" spans="1:25" s="350" customFormat="1" ht="15.75" hidden="1" customHeight="1">
      <c r="A339" s="428" t="s">
        <v>743</v>
      </c>
      <c r="B339" s="423">
        <v>821</v>
      </c>
      <c r="C339" s="94">
        <f t="shared" si="17"/>
        <v>0</v>
      </c>
      <c r="D339" s="94"/>
      <c r="E339" s="420"/>
      <c r="F339" s="650">
        <v>0</v>
      </c>
      <c r="G339" s="651"/>
      <c r="H339" s="593">
        <v>0</v>
      </c>
      <c r="I339" s="98">
        <f t="shared" si="21"/>
        <v>0</v>
      </c>
      <c r="J339" s="98">
        <f t="shared" si="21"/>
        <v>0</v>
      </c>
      <c r="K339" s="96">
        <f t="shared" si="22"/>
        <v>0</v>
      </c>
      <c r="L339" s="96"/>
      <c r="M339" s="96">
        <f t="shared" si="23"/>
        <v>0</v>
      </c>
      <c r="N339" s="107">
        <f>SUMIF([1]CRJ!$H$880:$H$894,B339:B744,[1]CRJ!$J$880:$J$894)</f>
        <v>0</v>
      </c>
      <c r="O339" s="100">
        <f>SUMIF([1]CRJ!$H$880:$H$894,B339:B744,[1]CRJ!$K$880:$K$894)</f>
        <v>0</v>
      </c>
      <c r="P339" s="100">
        <f>SUMIF([1]ChkDJ!$H$849:$H$867,B339:B744,[1]ChkDJ!$J$849:$J$867)</f>
        <v>0</v>
      </c>
      <c r="Q339" s="100">
        <f>SUMIF([1]ChkDJ!$H$849:$H$867,B339:B744,[1]ChkDJ!$K$849:$K$867)</f>
        <v>0</v>
      </c>
      <c r="R339" s="100">
        <f>SUMIF([1]CDJ!$H$190:$H$197,B339:B744,[1]CDJ!$J$190:$J$197)</f>
        <v>0</v>
      </c>
      <c r="S339" s="100">
        <f>SUMIF([1]CDJ!$H$190:$H$197,B339:B744,[1]CDJ!$K$190:$K$197)</f>
        <v>0</v>
      </c>
      <c r="T339" s="102">
        <f>SUMIF([1]GL!$H$448:$H$480,B339:B749,[1]GL!$J$448:$J$487)</f>
        <v>0</v>
      </c>
      <c r="U339" s="100">
        <f>SUMIF([1]GL!$H$448:$H$480,B339:B749,[1]GL!$K$448:$K$487)</f>
        <v>0</v>
      </c>
      <c r="V339" s="102"/>
      <c r="W339" s="100"/>
      <c r="X339" s="101"/>
      <c r="Y339" s="353"/>
    </row>
    <row r="340" spans="1:25" s="350" customFormat="1" ht="15.75" hidden="1" customHeight="1">
      <c r="A340" s="428" t="s">
        <v>744</v>
      </c>
      <c r="B340" s="423">
        <v>822</v>
      </c>
      <c r="C340" s="94">
        <f t="shared" si="17"/>
        <v>0</v>
      </c>
      <c r="D340" s="94"/>
      <c r="E340" s="420"/>
      <c r="F340" s="650">
        <v>0</v>
      </c>
      <c r="G340" s="651"/>
      <c r="H340" s="593">
        <v>0</v>
      </c>
      <c r="I340" s="98">
        <f t="shared" si="21"/>
        <v>0</v>
      </c>
      <c r="J340" s="98">
        <f t="shared" si="21"/>
        <v>0</v>
      </c>
      <c r="K340" s="96">
        <f t="shared" si="22"/>
        <v>0</v>
      </c>
      <c r="L340" s="96"/>
      <c r="M340" s="96">
        <f t="shared" si="23"/>
        <v>0</v>
      </c>
      <c r="N340" s="107">
        <f>SUMIF([1]CRJ!$H$880:$H$894,B340:B745,[1]CRJ!$J$880:$J$894)</f>
        <v>0</v>
      </c>
      <c r="O340" s="100">
        <f>SUMIF([1]CRJ!$H$880:$H$894,B340:B745,[1]CRJ!$K$880:$K$894)</f>
        <v>0</v>
      </c>
      <c r="P340" s="100">
        <f>SUMIF([1]ChkDJ!$H$849:$H$867,B340:B745,[1]ChkDJ!$J$849:$J$867)</f>
        <v>0</v>
      </c>
      <c r="Q340" s="100">
        <f>SUMIF([1]ChkDJ!$H$849:$H$867,B340:B745,[1]ChkDJ!$K$849:$K$867)</f>
        <v>0</v>
      </c>
      <c r="R340" s="100">
        <f>SUMIF([1]CDJ!$H$190:$H$197,B340:B745,[1]CDJ!$J$190:$J$197)</f>
        <v>0</v>
      </c>
      <c r="S340" s="100">
        <f>SUMIF([1]CDJ!$H$190:$H$197,B340:B745,[1]CDJ!$K$190:$K$197)</f>
        <v>0</v>
      </c>
      <c r="T340" s="102">
        <f>SUMIF([1]GL!$H$448:$H$480,B340:B750,[1]GL!$J$448:$J$487)</f>
        <v>0</v>
      </c>
      <c r="U340" s="100">
        <f>SUMIF([1]GL!$H$448:$H$480,B340:B750,[1]GL!$K$448:$K$487)</f>
        <v>0</v>
      </c>
      <c r="V340" s="102"/>
      <c r="W340" s="100"/>
      <c r="X340" s="101"/>
      <c r="Y340" s="353"/>
    </row>
    <row r="341" spans="1:25" s="350" customFormat="1" ht="15.75" hidden="1" customHeight="1">
      <c r="A341" s="428" t="s">
        <v>745</v>
      </c>
      <c r="B341" s="423">
        <v>823</v>
      </c>
      <c r="C341" s="94">
        <f t="shared" si="17"/>
        <v>0</v>
      </c>
      <c r="D341" s="94"/>
      <c r="E341" s="420"/>
      <c r="F341" s="650">
        <v>0</v>
      </c>
      <c r="G341" s="651"/>
      <c r="H341" s="593">
        <v>0</v>
      </c>
      <c r="I341" s="98">
        <f t="shared" si="21"/>
        <v>0</v>
      </c>
      <c r="J341" s="98">
        <f t="shared" si="21"/>
        <v>0</v>
      </c>
      <c r="K341" s="96">
        <f t="shared" si="22"/>
        <v>0</v>
      </c>
      <c r="L341" s="96"/>
      <c r="M341" s="96">
        <f t="shared" si="23"/>
        <v>0</v>
      </c>
      <c r="N341" s="107">
        <f>SUMIF([1]CRJ!$H$880:$H$894,B341:B746,[1]CRJ!$J$880:$J$894)</f>
        <v>0</v>
      </c>
      <c r="O341" s="100">
        <f>SUMIF([1]CRJ!$H$880:$H$894,B341:B746,[1]CRJ!$K$880:$K$894)</f>
        <v>0</v>
      </c>
      <c r="P341" s="100">
        <f>SUMIF([1]ChkDJ!$H$849:$H$867,B341:B746,[1]ChkDJ!$J$849:$J$867)</f>
        <v>0</v>
      </c>
      <c r="Q341" s="100">
        <f>SUMIF([1]ChkDJ!$H$849:$H$867,B341:B746,[1]ChkDJ!$K$849:$K$867)</f>
        <v>0</v>
      </c>
      <c r="R341" s="100">
        <f>SUMIF([1]CDJ!$H$190:$H$197,B341:B746,[1]CDJ!$J$190:$J$197)</f>
        <v>0</v>
      </c>
      <c r="S341" s="100">
        <f>SUMIF([1]CDJ!$H$190:$H$197,B341:B746,[1]CDJ!$K$190:$K$197)</f>
        <v>0</v>
      </c>
      <c r="T341" s="102">
        <f>SUMIF([1]GL!$H$448:$H$480,B341:B751,[1]GL!$J$448:$J$487)</f>
        <v>0</v>
      </c>
      <c r="U341" s="100">
        <f>SUMIF([1]GL!$H$448:$H$480,B341:B751,[1]GL!$K$448:$K$487)</f>
        <v>0</v>
      </c>
      <c r="V341" s="102"/>
      <c r="W341" s="100"/>
      <c r="X341" s="101"/>
      <c r="Y341" s="353"/>
    </row>
    <row r="342" spans="1:25" s="350" customFormat="1" ht="15.75" hidden="1" customHeight="1">
      <c r="A342" s="427" t="s">
        <v>746</v>
      </c>
      <c r="B342" s="423">
        <v>826</v>
      </c>
      <c r="C342" s="94">
        <f t="shared" si="17"/>
        <v>0</v>
      </c>
      <c r="D342" s="94"/>
      <c r="E342" s="420"/>
      <c r="F342" s="650">
        <v>0</v>
      </c>
      <c r="G342" s="651"/>
      <c r="H342" s="593">
        <v>0</v>
      </c>
      <c r="I342" s="98">
        <f t="shared" si="21"/>
        <v>0</v>
      </c>
      <c r="J342" s="98">
        <f t="shared" si="21"/>
        <v>0</v>
      </c>
      <c r="K342" s="96">
        <f t="shared" si="22"/>
        <v>0</v>
      </c>
      <c r="L342" s="96"/>
      <c r="M342" s="96">
        <f t="shared" si="23"/>
        <v>0</v>
      </c>
      <c r="N342" s="107">
        <f>SUMIF([1]CRJ!$H$880:$H$894,B342:B747,[1]CRJ!$J$880:$J$894)</f>
        <v>0</v>
      </c>
      <c r="O342" s="100">
        <f>SUMIF([1]CRJ!$H$880:$H$894,B342:B747,[1]CRJ!$K$880:$K$894)</f>
        <v>0</v>
      </c>
      <c r="P342" s="100">
        <f>SUMIF([1]ChkDJ!$H$849:$H$867,B342:B747,[1]ChkDJ!$J$849:$J$867)</f>
        <v>0</v>
      </c>
      <c r="Q342" s="100">
        <f>SUMIF([1]ChkDJ!$H$849:$H$867,B342:B747,[1]ChkDJ!$K$849:$K$867)</f>
        <v>0</v>
      </c>
      <c r="R342" s="100">
        <f>SUMIF([1]CDJ!$H$190:$H$197,B342:B747,[1]CDJ!$J$190:$J$197)</f>
        <v>0</v>
      </c>
      <c r="S342" s="100">
        <f>SUMIF([1]CDJ!$H$190:$H$197,B342:B747,[1]CDJ!$K$190:$K$197)</f>
        <v>0</v>
      </c>
      <c r="T342" s="102">
        <f>SUMIF([1]GL!$H$448:$H$480,B342:B752,[1]GL!$J$448:$J$487)</f>
        <v>0</v>
      </c>
      <c r="U342" s="100">
        <f>SUMIF([1]GL!$H$448:$H$480,B342:B752,[1]GL!$K$448:$K$487)</f>
        <v>0</v>
      </c>
      <c r="V342" s="102"/>
      <c r="W342" s="100"/>
      <c r="X342" s="101"/>
      <c r="Y342" s="353"/>
    </row>
    <row r="343" spans="1:25" s="350" customFormat="1" ht="15.75" hidden="1" customHeight="1">
      <c r="A343" s="427" t="s">
        <v>747</v>
      </c>
      <c r="B343" s="423">
        <v>827</v>
      </c>
      <c r="C343" s="94">
        <f t="shared" si="17"/>
        <v>0</v>
      </c>
      <c r="D343" s="94"/>
      <c r="E343" s="420"/>
      <c r="F343" s="650">
        <v>0</v>
      </c>
      <c r="G343" s="651"/>
      <c r="H343" s="593">
        <v>0</v>
      </c>
      <c r="I343" s="98">
        <f t="shared" si="21"/>
        <v>0</v>
      </c>
      <c r="J343" s="98">
        <f t="shared" si="21"/>
        <v>0</v>
      </c>
      <c r="K343" s="96">
        <f t="shared" si="22"/>
        <v>0</v>
      </c>
      <c r="L343" s="96"/>
      <c r="M343" s="96">
        <f t="shared" si="23"/>
        <v>0</v>
      </c>
      <c r="N343" s="107">
        <f>SUMIF([1]CRJ!$H$880:$H$894,B343:B748,[1]CRJ!$J$880:$J$894)</f>
        <v>0</v>
      </c>
      <c r="O343" s="100">
        <f>SUMIF([1]CRJ!$H$880:$H$894,B343:B748,[1]CRJ!$K$880:$K$894)</f>
        <v>0</v>
      </c>
      <c r="P343" s="100">
        <f>SUMIF([1]ChkDJ!$H$849:$H$867,B343:B748,[1]ChkDJ!$J$849:$J$867)</f>
        <v>0</v>
      </c>
      <c r="Q343" s="100">
        <f>SUMIF([1]ChkDJ!$H$849:$H$867,B343:B748,[1]ChkDJ!$K$849:$K$867)</f>
        <v>0</v>
      </c>
      <c r="R343" s="100">
        <f>SUMIF([1]CDJ!$H$190:$H$197,B343:B748,[1]CDJ!$J$190:$J$197)</f>
        <v>0</v>
      </c>
      <c r="S343" s="100">
        <f>SUMIF([1]CDJ!$H$190:$H$197,B343:B748,[1]CDJ!$K$190:$K$197)</f>
        <v>0</v>
      </c>
      <c r="T343" s="102">
        <f>SUMIF([1]GL!$H$448:$H$480,B343:B753,[1]GL!$J$448:$J$487)</f>
        <v>0</v>
      </c>
      <c r="U343" s="100">
        <f>SUMIF([1]GL!$H$448:$H$480,B343:B753,[1]GL!$K$448:$K$487)</f>
        <v>0</v>
      </c>
      <c r="V343" s="102"/>
      <c r="W343" s="100"/>
      <c r="X343" s="101"/>
      <c r="Y343" s="353"/>
    </row>
    <row r="344" spans="1:25" s="350" customFormat="1" ht="15.75" hidden="1" customHeight="1">
      <c r="A344" s="427" t="s">
        <v>748</v>
      </c>
      <c r="B344" s="423">
        <v>829</v>
      </c>
      <c r="C344" s="94">
        <f t="shared" si="17"/>
        <v>0</v>
      </c>
      <c r="D344" s="94"/>
      <c r="E344" s="420"/>
      <c r="F344" s="650">
        <v>0</v>
      </c>
      <c r="G344" s="651"/>
      <c r="H344" s="593">
        <v>0</v>
      </c>
      <c r="I344" s="98">
        <f t="shared" si="21"/>
        <v>0</v>
      </c>
      <c r="J344" s="98">
        <f t="shared" si="21"/>
        <v>0</v>
      </c>
      <c r="K344" s="96">
        <f t="shared" si="22"/>
        <v>0</v>
      </c>
      <c r="L344" s="96"/>
      <c r="M344" s="96">
        <f t="shared" si="23"/>
        <v>0</v>
      </c>
      <c r="N344" s="107">
        <f>SUMIF([1]CRJ!$H$880:$H$894,B344:B749,[1]CRJ!$J$880:$J$894)</f>
        <v>0</v>
      </c>
      <c r="O344" s="100">
        <f>SUMIF([1]CRJ!$H$880:$H$894,B344:B749,[1]CRJ!$K$880:$K$894)</f>
        <v>0</v>
      </c>
      <c r="P344" s="100">
        <f>SUMIF([1]ChkDJ!$H$849:$H$867,B344:B749,[1]ChkDJ!$J$849:$J$867)</f>
        <v>0</v>
      </c>
      <c r="Q344" s="100">
        <f>SUMIF([1]ChkDJ!$H$849:$H$867,B344:B749,[1]ChkDJ!$K$849:$K$867)</f>
        <v>0</v>
      </c>
      <c r="R344" s="100">
        <f>SUMIF([1]CDJ!$H$190:$H$197,B344:B749,[1]CDJ!$J$190:$J$197)</f>
        <v>0</v>
      </c>
      <c r="S344" s="100">
        <f>SUMIF([1]CDJ!$H$190:$H$197,B344:B749,[1]CDJ!$K$190:$K$197)</f>
        <v>0</v>
      </c>
      <c r="T344" s="102">
        <f>SUMIF([1]GL!$H$448:$H$480,B344:B754,[1]GL!$J$448:$J$487)</f>
        <v>0</v>
      </c>
      <c r="U344" s="100">
        <f>SUMIF([1]GL!$H$448:$H$480,B344:B754,[1]GL!$K$448:$K$487)</f>
        <v>0</v>
      </c>
      <c r="V344" s="102"/>
      <c r="W344" s="100"/>
      <c r="X344" s="101"/>
      <c r="Y344" s="353"/>
    </row>
    <row r="345" spans="1:25" s="105" customFormat="1" ht="15.75" hidden="1" customHeight="1">
      <c r="A345" s="202" t="s">
        <v>71</v>
      </c>
      <c r="B345" s="513">
        <v>830</v>
      </c>
      <c r="C345" s="94">
        <f t="shared" si="17"/>
        <v>0</v>
      </c>
      <c r="D345" s="94"/>
      <c r="E345" s="94"/>
      <c r="F345" s="653">
        <v>0</v>
      </c>
      <c r="G345" s="98"/>
      <c r="H345" s="96">
        <v>0</v>
      </c>
      <c r="I345" s="98">
        <f t="shared" si="21"/>
        <v>0</v>
      </c>
      <c r="J345" s="98">
        <f t="shared" si="21"/>
        <v>0</v>
      </c>
      <c r="K345" s="96">
        <f t="shared" si="22"/>
        <v>0</v>
      </c>
      <c r="L345" s="96"/>
      <c r="M345" s="96">
        <f t="shared" si="23"/>
        <v>0</v>
      </c>
      <c r="N345" s="107">
        <f>SUMIF([1]CRJ!$H$880:$H$894,B345:B750,[1]CRJ!$J$880:$J$894)</f>
        <v>0</v>
      </c>
      <c r="O345" s="100">
        <f>SUMIF([1]CRJ!$H$880:$H$894,B345:B750,[1]CRJ!$K$880:$K$894)</f>
        <v>0</v>
      </c>
      <c r="P345" s="100">
        <f>SUMIF([1]ChkDJ!$H$849:$H$867,B345:B750,[1]ChkDJ!$J$849:$J$867)</f>
        <v>0</v>
      </c>
      <c r="Q345" s="100">
        <f>SUMIF([1]ChkDJ!$H$849:$H$867,B345:B750,[1]ChkDJ!$K$849:$K$867)</f>
        <v>0</v>
      </c>
      <c r="R345" s="100">
        <f>SUMIF([1]CDJ!$H$190:$H$197,B345:B750,[1]CDJ!$J$190:$J$197)</f>
        <v>0</v>
      </c>
      <c r="S345" s="100">
        <f>SUMIF([1]CDJ!$H$190:$H$197,B345:B750,[1]CDJ!$K$190:$K$197)</f>
        <v>0</v>
      </c>
      <c r="T345" s="102">
        <f>SUMIF([1]GL!$H$448:$H$480,B345:B755,[1]GL!$J$448:$J$487)</f>
        <v>0</v>
      </c>
      <c r="U345" s="100">
        <f>SUMIF([1]GL!$H$448:$H$480,B345:B755,[1]GL!$K$448:$K$487)</f>
        <v>0</v>
      </c>
      <c r="V345" s="102"/>
      <c r="W345" s="100"/>
      <c r="X345" s="101"/>
      <c r="Y345" s="353"/>
    </row>
    <row r="346" spans="1:25" s="350" customFormat="1" ht="15.75" hidden="1" customHeight="1">
      <c r="A346" s="427" t="s">
        <v>749</v>
      </c>
      <c r="B346" s="423">
        <v>831</v>
      </c>
      <c r="C346" s="94">
        <f t="shared" si="17"/>
        <v>0</v>
      </c>
      <c r="D346" s="94"/>
      <c r="E346" s="420"/>
      <c r="F346" s="650">
        <v>0</v>
      </c>
      <c r="G346" s="651"/>
      <c r="H346" s="593">
        <v>0</v>
      </c>
      <c r="I346" s="98">
        <f t="shared" si="21"/>
        <v>0</v>
      </c>
      <c r="J346" s="98">
        <f t="shared" si="21"/>
        <v>0</v>
      </c>
      <c r="K346" s="96">
        <f t="shared" si="22"/>
        <v>0</v>
      </c>
      <c r="L346" s="96"/>
      <c r="M346" s="96">
        <f t="shared" si="23"/>
        <v>0</v>
      </c>
      <c r="N346" s="107">
        <f>SUMIF([1]CRJ!$H$880:$H$894,B346:B751,[1]CRJ!$J$880:$J$894)</f>
        <v>0</v>
      </c>
      <c r="O346" s="100">
        <f>SUMIF([1]CRJ!$H$880:$H$894,B346:B751,[1]CRJ!$K$880:$K$894)</f>
        <v>0</v>
      </c>
      <c r="P346" s="100">
        <f>SUMIF([1]ChkDJ!$H$849:$H$867,B346:B751,[1]ChkDJ!$J$849:$J$867)</f>
        <v>0</v>
      </c>
      <c r="Q346" s="100">
        <f>SUMIF([1]ChkDJ!$H$849:$H$867,B346:B751,[1]ChkDJ!$K$849:$K$867)</f>
        <v>0</v>
      </c>
      <c r="R346" s="100">
        <f>SUMIF([1]CDJ!$H$190:$H$197,B346:B751,[1]CDJ!$J$190:$J$197)</f>
        <v>0</v>
      </c>
      <c r="S346" s="100">
        <f>SUMIF([1]CDJ!$H$190:$H$197,B346:B751,[1]CDJ!$K$190:$K$197)</f>
        <v>0</v>
      </c>
      <c r="T346" s="102">
        <f>SUMIF([1]GL!$H$448:$H$480,B346:B756,[1]GL!$J$448:$J$487)</f>
        <v>0</v>
      </c>
      <c r="U346" s="100">
        <f>SUMIF([1]GL!$H$448:$H$480,B346:B756,[1]GL!$K$448:$K$487)</f>
        <v>0</v>
      </c>
      <c r="V346" s="102"/>
      <c r="W346" s="100"/>
      <c r="X346" s="101"/>
      <c r="Y346" s="353"/>
    </row>
    <row r="347" spans="1:25" s="350" customFormat="1" ht="15.75" hidden="1" customHeight="1">
      <c r="A347" s="427" t="s">
        <v>750</v>
      </c>
      <c r="B347" s="423">
        <v>832</v>
      </c>
      <c r="C347" s="94">
        <f t="shared" si="17"/>
        <v>0</v>
      </c>
      <c r="D347" s="94"/>
      <c r="E347" s="420"/>
      <c r="F347" s="650">
        <v>0</v>
      </c>
      <c r="G347" s="651"/>
      <c r="H347" s="593">
        <v>0</v>
      </c>
      <c r="I347" s="98">
        <f t="shared" si="21"/>
        <v>0</v>
      </c>
      <c r="J347" s="98">
        <f t="shared" si="21"/>
        <v>0</v>
      </c>
      <c r="K347" s="96">
        <f t="shared" si="22"/>
        <v>0</v>
      </c>
      <c r="L347" s="96"/>
      <c r="M347" s="96">
        <f t="shared" si="23"/>
        <v>0</v>
      </c>
      <c r="N347" s="107">
        <f>SUMIF([1]CRJ!$H$880:$H$894,B347:B752,[1]CRJ!$J$880:$J$894)</f>
        <v>0</v>
      </c>
      <c r="O347" s="100">
        <f>SUMIF([1]CRJ!$H$880:$H$894,B347:B752,[1]CRJ!$K$880:$K$894)</f>
        <v>0</v>
      </c>
      <c r="P347" s="100">
        <f>SUMIF([1]ChkDJ!$H$849:$H$867,B347:B752,[1]ChkDJ!$J$849:$J$867)</f>
        <v>0</v>
      </c>
      <c r="Q347" s="100">
        <f>SUMIF([1]ChkDJ!$H$849:$H$867,B347:B752,[1]ChkDJ!$K$849:$K$867)</f>
        <v>0</v>
      </c>
      <c r="R347" s="100">
        <f>SUMIF([1]CDJ!$H$190:$H$197,B347:B752,[1]CDJ!$J$190:$J$197)</f>
        <v>0</v>
      </c>
      <c r="S347" s="100">
        <f>SUMIF([1]CDJ!$H$190:$H$197,B347:B752,[1]CDJ!$K$190:$K$197)</f>
        <v>0</v>
      </c>
      <c r="T347" s="102">
        <f>SUMIF([1]GL!$H$448:$H$480,B347:B757,[1]GL!$J$448:$J$487)</f>
        <v>0</v>
      </c>
      <c r="U347" s="100">
        <f>SUMIF([1]GL!$H$448:$H$480,B347:B757,[1]GL!$K$448:$K$487)</f>
        <v>0</v>
      </c>
      <c r="V347" s="102"/>
      <c r="W347" s="100"/>
      <c r="X347" s="101"/>
      <c r="Y347" s="353"/>
    </row>
    <row r="348" spans="1:25" s="350" customFormat="1" ht="15.75" hidden="1" customHeight="1">
      <c r="A348" s="427" t="s">
        <v>751</v>
      </c>
      <c r="B348" s="423">
        <v>833</v>
      </c>
      <c r="C348" s="94">
        <f t="shared" si="17"/>
        <v>0</v>
      </c>
      <c r="D348" s="94"/>
      <c r="E348" s="420"/>
      <c r="F348" s="650">
        <v>0</v>
      </c>
      <c r="G348" s="651"/>
      <c r="H348" s="593">
        <v>0</v>
      </c>
      <c r="I348" s="98">
        <f t="shared" si="21"/>
        <v>0</v>
      </c>
      <c r="J348" s="98">
        <f t="shared" si="21"/>
        <v>0</v>
      </c>
      <c r="K348" s="96">
        <f t="shared" si="22"/>
        <v>0</v>
      </c>
      <c r="L348" s="96"/>
      <c r="M348" s="96">
        <f t="shared" si="23"/>
        <v>0</v>
      </c>
      <c r="N348" s="107">
        <f>SUMIF([1]CRJ!$H$880:$H$894,B348:B753,[1]CRJ!$J$880:$J$894)</f>
        <v>0</v>
      </c>
      <c r="O348" s="100">
        <f>SUMIF([1]CRJ!$H$880:$H$894,B348:B753,[1]CRJ!$K$880:$K$894)</f>
        <v>0</v>
      </c>
      <c r="P348" s="100">
        <f>SUMIF([1]ChkDJ!$H$849:$H$867,B348:B753,[1]ChkDJ!$J$849:$J$867)</f>
        <v>0</v>
      </c>
      <c r="Q348" s="100">
        <f>SUMIF([1]ChkDJ!$H$849:$H$867,B348:B753,[1]ChkDJ!$K$849:$K$867)</f>
        <v>0</v>
      </c>
      <c r="R348" s="100">
        <f>SUMIF([1]CDJ!$H$190:$H$197,B348:B753,[1]CDJ!$J$190:$J$197)</f>
        <v>0</v>
      </c>
      <c r="S348" s="100">
        <f>SUMIF([1]CDJ!$H$190:$H$197,B348:B753,[1]CDJ!$K$190:$K$197)</f>
        <v>0</v>
      </c>
      <c r="T348" s="102">
        <f>SUMIF([1]GL!$H$448:$H$480,B348:B758,[1]GL!$J$448:$J$487)</f>
        <v>0</v>
      </c>
      <c r="U348" s="100">
        <f>SUMIF([1]GL!$H$448:$H$480,B348:B758,[1]GL!$K$448:$K$487)</f>
        <v>0</v>
      </c>
      <c r="V348" s="102"/>
      <c r="W348" s="100"/>
      <c r="X348" s="101"/>
      <c r="Y348" s="353"/>
    </row>
    <row r="349" spans="1:25" s="350" customFormat="1" ht="15.75" hidden="1" customHeight="1">
      <c r="A349" s="427" t="s">
        <v>752</v>
      </c>
      <c r="B349" s="423">
        <v>834</v>
      </c>
      <c r="C349" s="94">
        <f t="shared" si="17"/>
        <v>0</v>
      </c>
      <c r="D349" s="94"/>
      <c r="E349" s="420"/>
      <c r="F349" s="650">
        <v>0</v>
      </c>
      <c r="G349" s="651"/>
      <c r="H349" s="593">
        <v>0</v>
      </c>
      <c r="I349" s="98">
        <f t="shared" si="21"/>
        <v>0</v>
      </c>
      <c r="J349" s="98">
        <f t="shared" si="21"/>
        <v>0</v>
      </c>
      <c r="K349" s="96">
        <f t="shared" si="22"/>
        <v>0</v>
      </c>
      <c r="L349" s="96"/>
      <c r="M349" s="96">
        <f t="shared" si="23"/>
        <v>0</v>
      </c>
      <c r="N349" s="107">
        <f>SUMIF([1]CRJ!$H$880:$H$894,B349:B754,[1]CRJ!$J$880:$J$894)</f>
        <v>0</v>
      </c>
      <c r="O349" s="100">
        <f>SUMIF([1]CRJ!$H$880:$H$894,B349:B754,[1]CRJ!$K$880:$K$894)</f>
        <v>0</v>
      </c>
      <c r="P349" s="100">
        <f>SUMIF([1]ChkDJ!$H$849:$H$867,B349:B754,[1]ChkDJ!$J$849:$J$867)</f>
        <v>0</v>
      </c>
      <c r="Q349" s="100">
        <f>SUMIF([1]ChkDJ!$H$849:$H$867,B349:B754,[1]ChkDJ!$K$849:$K$867)</f>
        <v>0</v>
      </c>
      <c r="R349" s="100">
        <f>SUMIF([1]CDJ!$H$190:$H$197,B349:B754,[1]CDJ!$J$190:$J$197)</f>
        <v>0</v>
      </c>
      <c r="S349" s="100">
        <f>SUMIF([1]CDJ!$H$190:$H$197,B349:B754,[1]CDJ!$K$190:$K$197)</f>
        <v>0</v>
      </c>
      <c r="T349" s="102">
        <f>SUMIF([1]GL!$H$448:$H$480,B349:B759,[1]GL!$J$448:$J$487)</f>
        <v>0</v>
      </c>
      <c r="U349" s="100">
        <f>SUMIF([1]GL!$H$448:$H$480,B349:B759,[1]GL!$K$448:$K$487)</f>
        <v>0</v>
      </c>
      <c r="V349" s="102"/>
      <c r="W349" s="100"/>
      <c r="X349" s="101"/>
      <c r="Y349" s="353"/>
    </row>
    <row r="350" spans="1:25" s="350" customFormat="1" ht="15.75" hidden="1">
      <c r="A350" s="427" t="s">
        <v>753</v>
      </c>
      <c r="B350" s="423">
        <v>835</v>
      </c>
      <c r="C350" s="94">
        <f t="shared" si="17"/>
        <v>0</v>
      </c>
      <c r="D350" s="94"/>
      <c r="E350" s="420"/>
      <c r="F350" s="650">
        <v>0</v>
      </c>
      <c r="G350" s="651"/>
      <c r="H350" s="593">
        <v>0</v>
      </c>
      <c r="I350" s="98">
        <f t="shared" si="21"/>
        <v>0</v>
      </c>
      <c r="J350" s="98">
        <f t="shared" si="21"/>
        <v>0</v>
      </c>
      <c r="K350" s="96">
        <f t="shared" si="22"/>
        <v>0</v>
      </c>
      <c r="L350" s="96"/>
      <c r="M350" s="96">
        <f t="shared" si="23"/>
        <v>0</v>
      </c>
      <c r="N350" s="107">
        <f>SUMIF([1]CRJ!$H$880:$H$894,B350:B755,[1]CRJ!$J$880:$J$894)</f>
        <v>0</v>
      </c>
      <c r="O350" s="100">
        <f>SUMIF([1]CRJ!$H$880:$H$894,B350:B755,[1]CRJ!$K$880:$K$894)</f>
        <v>0</v>
      </c>
      <c r="P350" s="100">
        <f>SUMIF([1]ChkDJ!$H$849:$H$867,B350:B755,[1]ChkDJ!$J$849:$J$867)</f>
        <v>0</v>
      </c>
      <c r="Q350" s="100">
        <f>SUMIF([1]ChkDJ!$H$849:$H$867,B350:B755,[1]ChkDJ!$K$849:$K$867)</f>
        <v>0</v>
      </c>
      <c r="R350" s="100">
        <f>SUMIF([1]CDJ!$H$190:$H$197,B350:B755,[1]CDJ!$J$190:$J$197)</f>
        <v>0</v>
      </c>
      <c r="S350" s="100">
        <f>SUMIF([1]CDJ!$H$190:$H$197,B350:B755,[1]CDJ!$K$190:$K$197)</f>
        <v>0</v>
      </c>
      <c r="T350" s="102">
        <f>SUMIF([1]GL!$H$448:$H$480,B350:B760,[1]GL!$J$448:$J$487)</f>
        <v>0</v>
      </c>
      <c r="U350" s="100">
        <f>SUMIF([1]GL!$H$448:$H$480,B350:B760,[1]GL!$K$448:$K$487)</f>
        <v>0</v>
      </c>
      <c r="V350" s="102"/>
      <c r="W350" s="100"/>
      <c r="X350" s="101"/>
      <c r="Y350" s="353"/>
    </row>
    <row r="351" spans="1:25" s="350" customFormat="1" ht="15.75" hidden="1" customHeight="1">
      <c r="A351" s="427" t="s">
        <v>754</v>
      </c>
      <c r="B351" s="423">
        <v>836</v>
      </c>
      <c r="C351" s="94">
        <f t="shared" si="17"/>
        <v>0</v>
      </c>
      <c r="D351" s="94"/>
      <c r="E351" s="420"/>
      <c r="F351" s="650">
        <v>0</v>
      </c>
      <c r="G351" s="651"/>
      <c r="H351" s="593">
        <v>0</v>
      </c>
      <c r="I351" s="98">
        <f t="shared" si="21"/>
        <v>0</v>
      </c>
      <c r="J351" s="98">
        <f t="shared" si="21"/>
        <v>0</v>
      </c>
      <c r="K351" s="96">
        <f t="shared" si="22"/>
        <v>0</v>
      </c>
      <c r="L351" s="96"/>
      <c r="M351" s="96">
        <f t="shared" si="23"/>
        <v>0</v>
      </c>
      <c r="N351" s="107">
        <f>SUMIF([1]CRJ!$H$880:$H$894,B351:B756,[1]CRJ!$J$880:$J$894)</f>
        <v>0</v>
      </c>
      <c r="O351" s="100">
        <f>SUMIF([1]CRJ!$H$880:$H$894,B351:B756,[1]CRJ!$K$880:$K$894)</f>
        <v>0</v>
      </c>
      <c r="P351" s="100">
        <f>SUMIF([1]ChkDJ!$H$849:$H$867,B351:B756,[1]ChkDJ!$J$849:$J$867)</f>
        <v>0</v>
      </c>
      <c r="Q351" s="100">
        <f>SUMIF([1]ChkDJ!$H$849:$H$867,B351:B756,[1]ChkDJ!$K$849:$K$867)</f>
        <v>0</v>
      </c>
      <c r="R351" s="100">
        <f>SUMIF([1]CDJ!$H$190:$H$197,B351:B756,[1]CDJ!$J$190:$J$197)</f>
        <v>0</v>
      </c>
      <c r="S351" s="100">
        <f>SUMIF([1]CDJ!$H$190:$H$197,B351:B756,[1]CDJ!$K$190:$K$197)</f>
        <v>0</v>
      </c>
      <c r="T351" s="102">
        <f>SUMIF([1]GL!$H$448:$H$480,B351:B761,[1]GL!$J$448:$J$487)</f>
        <v>0</v>
      </c>
      <c r="U351" s="100">
        <f>SUMIF([1]GL!$H$448:$H$480,B351:B761,[1]GL!$K$448:$K$487)</f>
        <v>0</v>
      </c>
      <c r="V351" s="102"/>
      <c r="W351" s="100"/>
      <c r="X351" s="101"/>
      <c r="Y351" s="353"/>
    </row>
    <row r="352" spans="1:25" s="350" customFormat="1" ht="15.75" hidden="1" customHeight="1">
      <c r="A352" s="427" t="s">
        <v>755</v>
      </c>
      <c r="B352" s="423">
        <v>840</v>
      </c>
      <c r="C352" s="94">
        <f t="shared" si="17"/>
        <v>0</v>
      </c>
      <c r="D352" s="94"/>
      <c r="E352" s="420"/>
      <c r="F352" s="650">
        <v>0</v>
      </c>
      <c r="G352" s="651"/>
      <c r="H352" s="593">
        <v>0</v>
      </c>
      <c r="I352" s="98">
        <f t="shared" si="21"/>
        <v>0</v>
      </c>
      <c r="J352" s="98">
        <f t="shared" si="21"/>
        <v>0</v>
      </c>
      <c r="K352" s="96">
        <f t="shared" si="22"/>
        <v>0</v>
      </c>
      <c r="L352" s="96"/>
      <c r="M352" s="96">
        <f t="shared" si="23"/>
        <v>0</v>
      </c>
      <c r="N352" s="107">
        <f>SUMIF([1]CRJ!$H$880:$H$894,B352:B757,[1]CRJ!$J$880:$J$894)</f>
        <v>0</v>
      </c>
      <c r="O352" s="100">
        <f>SUMIF([1]CRJ!$H$880:$H$894,B352:B757,[1]CRJ!$K$880:$K$894)</f>
        <v>0</v>
      </c>
      <c r="P352" s="100">
        <f>SUMIF([1]ChkDJ!$H$849:$H$867,B352:B757,[1]ChkDJ!$J$849:$J$867)</f>
        <v>0</v>
      </c>
      <c r="Q352" s="100">
        <f>SUMIF([1]ChkDJ!$H$849:$H$867,B352:B757,[1]ChkDJ!$K$849:$K$867)</f>
        <v>0</v>
      </c>
      <c r="R352" s="100">
        <f>SUMIF([1]CDJ!$H$190:$H$197,B352:B757,[1]CDJ!$J$190:$J$197)</f>
        <v>0</v>
      </c>
      <c r="S352" s="100">
        <f>SUMIF([1]CDJ!$H$190:$H$197,B352:B757,[1]CDJ!$K$190:$K$197)</f>
        <v>0</v>
      </c>
      <c r="T352" s="102">
        <f>SUMIF([1]GL!$H$448:$H$480,B352:B762,[1]GL!$J$448:$J$487)</f>
        <v>0</v>
      </c>
      <c r="U352" s="100">
        <f>SUMIF([1]GL!$H$448:$H$480,B352:B762,[1]GL!$K$448:$K$487)</f>
        <v>0</v>
      </c>
      <c r="V352" s="102"/>
      <c r="W352" s="100"/>
      <c r="X352" s="101"/>
      <c r="Y352" s="353"/>
    </row>
    <row r="353" spans="1:25" s="350" customFormat="1" ht="15.75" customHeight="1">
      <c r="A353" s="427" t="s">
        <v>756</v>
      </c>
      <c r="B353" s="423">
        <v>841</v>
      </c>
      <c r="C353" s="94">
        <f t="shared" si="17"/>
        <v>67550</v>
      </c>
      <c r="D353" s="94"/>
      <c r="E353" s="420"/>
      <c r="F353" s="650">
        <v>0</v>
      </c>
      <c r="G353" s="651"/>
      <c r="H353" s="593">
        <v>0</v>
      </c>
      <c r="I353" s="98">
        <f t="shared" si="21"/>
        <v>67550</v>
      </c>
      <c r="J353" s="98">
        <f t="shared" si="21"/>
        <v>0</v>
      </c>
      <c r="K353" s="96">
        <f t="shared" si="22"/>
        <v>67550</v>
      </c>
      <c r="L353" s="96"/>
      <c r="M353" s="96">
        <f t="shared" si="23"/>
        <v>0</v>
      </c>
      <c r="N353" s="107">
        <f>SUMIF([1]CRJ!$H$880:$H$894,B353:B758,[1]CRJ!$J$880:$J$894)</f>
        <v>0</v>
      </c>
      <c r="O353" s="100">
        <f>SUMIF([1]CRJ!$H$880:$H$894,B353:B758,[1]CRJ!$K$880:$K$894)</f>
        <v>0</v>
      </c>
      <c r="P353" s="100">
        <f>SUMIF([1]ChkDJ!$H$849:$H$867,B353:B758,[1]ChkDJ!$J$849:$J$867)</f>
        <v>67550</v>
      </c>
      <c r="Q353" s="100">
        <f>SUMIF([1]ChkDJ!$H$849:$H$867,B353:B758,[1]ChkDJ!$K$849:$K$867)</f>
        <v>0</v>
      </c>
      <c r="R353" s="100">
        <f>SUMIF([1]CDJ!$H$190:$H$197,B353:B758,[1]CDJ!$J$190:$J$197)</f>
        <v>0</v>
      </c>
      <c r="S353" s="100">
        <f>SUMIF([1]CDJ!$H$190:$H$197,B353:B758,[1]CDJ!$K$190:$K$197)</f>
        <v>0</v>
      </c>
      <c r="T353" s="102">
        <f>SUMIF([1]GL!$H$448:$H$480,B353:B763,[1]GL!$J$448:$J$487)</f>
        <v>0</v>
      </c>
      <c r="U353" s="100">
        <f>SUMIF([1]GL!$H$448:$H$480,B353:B763,[1]GL!$K$448:$K$487)</f>
        <v>0</v>
      </c>
      <c r="V353" s="102"/>
      <c r="W353" s="100"/>
      <c r="X353" s="101"/>
      <c r="Y353" s="353"/>
    </row>
    <row r="354" spans="1:25" s="350" customFormat="1" ht="15.75" hidden="1" customHeight="1">
      <c r="A354" s="428" t="s">
        <v>757</v>
      </c>
      <c r="B354" s="423">
        <v>844</v>
      </c>
      <c r="C354" s="94">
        <f t="shared" si="17"/>
        <v>0</v>
      </c>
      <c r="D354" s="94"/>
      <c r="E354" s="420"/>
      <c r="F354" s="650">
        <v>0</v>
      </c>
      <c r="G354" s="651"/>
      <c r="H354" s="593">
        <v>0</v>
      </c>
      <c r="I354" s="98">
        <f t="shared" si="21"/>
        <v>0</v>
      </c>
      <c r="J354" s="98">
        <f t="shared" si="21"/>
        <v>0</v>
      </c>
      <c r="K354" s="96">
        <f t="shared" si="22"/>
        <v>0</v>
      </c>
      <c r="L354" s="96"/>
      <c r="M354" s="96">
        <f t="shared" si="23"/>
        <v>0</v>
      </c>
      <c r="N354" s="107">
        <f>SUMIF([1]CRJ!$H$880:$H$894,B354:B759,[1]CRJ!$J$880:$J$894)</f>
        <v>0</v>
      </c>
      <c r="O354" s="100">
        <f>SUMIF([1]CRJ!$H$880:$H$894,B354:B759,[1]CRJ!$K$880:$K$894)</f>
        <v>0</v>
      </c>
      <c r="P354" s="100">
        <f>SUMIF([1]ChkDJ!$H$849:$H$867,B354:B759,[1]ChkDJ!$J$849:$J$867)</f>
        <v>0</v>
      </c>
      <c r="Q354" s="100">
        <f>SUMIF([1]ChkDJ!$H$849:$H$867,B354:B759,[1]ChkDJ!$K$849:$K$867)</f>
        <v>0</v>
      </c>
      <c r="R354" s="100">
        <f>SUMIF([1]CDJ!$H$190:$H$197,B354:B759,[1]CDJ!$J$190:$J$197)</f>
        <v>0</v>
      </c>
      <c r="S354" s="100">
        <f>SUMIF([1]CDJ!$H$190:$H$197,B354:B759,[1]CDJ!$K$190:$K$197)</f>
        <v>0</v>
      </c>
      <c r="T354" s="102">
        <f>SUMIF([1]GL!$H$448:$H$480,B354:B764,[1]GL!$J$448:$J$487)</f>
        <v>0</v>
      </c>
      <c r="U354" s="100">
        <f>SUMIF([1]GL!$H$448:$H$480,B354:B764,[1]GL!$K$448:$K$487)</f>
        <v>0</v>
      </c>
      <c r="V354" s="102"/>
      <c r="W354" s="100"/>
      <c r="X354" s="101"/>
      <c r="Y354" s="353"/>
    </row>
    <row r="355" spans="1:25" s="350" customFormat="1" ht="15.75" hidden="1" customHeight="1">
      <c r="A355" s="427" t="s">
        <v>758</v>
      </c>
      <c r="B355" s="423">
        <v>848</v>
      </c>
      <c r="C355" s="94">
        <f t="shared" si="17"/>
        <v>0</v>
      </c>
      <c r="D355" s="94"/>
      <c r="E355" s="420"/>
      <c r="F355" s="650">
        <v>0</v>
      </c>
      <c r="G355" s="651"/>
      <c r="H355" s="593">
        <v>0</v>
      </c>
      <c r="I355" s="98">
        <f t="shared" si="21"/>
        <v>0</v>
      </c>
      <c r="J355" s="98">
        <f t="shared" si="21"/>
        <v>0</v>
      </c>
      <c r="K355" s="96">
        <f t="shared" si="22"/>
        <v>0</v>
      </c>
      <c r="L355" s="96"/>
      <c r="M355" s="96">
        <f t="shared" si="23"/>
        <v>0</v>
      </c>
      <c r="N355" s="107">
        <f>SUMIF([1]CRJ!$H$880:$H$894,B355:B760,[1]CRJ!$J$880:$J$894)</f>
        <v>0</v>
      </c>
      <c r="O355" s="100">
        <f>SUMIF([1]CRJ!$H$880:$H$894,B355:B760,[1]CRJ!$K$880:$K$894)</f>
        <v>0</v>
      </c>
      <c r="P355" s="100">
        <f>SUMIF([1]ChkDJ!$H$849:$H$867,B355:B760,[1]ChkDJ!$J$849:$J$867)</f>
        <v>0</v>
      </c>
      <c r="Q355" s="100">
        <f>SUMIF([1]ChkDJ!$H$849:$H$867,B355:B760,[1]ChkDJ!$K$849:$K$867)</f>
        <v>0</v>
      </c>
      <c r="R355" s="100">
        <f>SUMIF([1]CDJ!$H$190:$H$197,B355:B760,[1]CDJ!$J$190:$J$197)</f>
        <v>0</v>
      </c>
      <c r="S355" s="100">
        <f>SUMIF([1]CDJ!$H$190:$H$197,B355:B760,[1]CDJ!$K$190:$K$197)</f>
        <v>0</v>
      </c>
      <c r="T355" s="102">
        <f>SUMIF([1]GL!$H$448:$H$480,B355:B765,[1]GL!$J$448:$J$487)</f>
        <v>0</v>
      </c>
      <c r="U355" s="100">
        <f>SUMIF([1]GL!$H$448:$H$480,B355:B765,[1]GL!$K$448:$K$487)</f>
        <v>0</v>
      </c>
      <c r="V355" s="102"/>
      <c r="W355" s="100"/>
      <c r="X355" s="101"/>
      <c r="Y355" s="353"/>
    </row>
    <row r="356" spans="1:25" s="350" customFormat="1" ht="15.75" hidden="1" customHeight="1">
      <c r="A356" s="427" t="s">
        <v>759</v>
      </c>
      <c r="B356" s="423">
        <v>850</v>
      </c>
      <c r="C356" s="94">
        <f t="shared" si="17"/>
        <v>0</v>
      </c>
      <c r="D356" s="94"/>
      <c r="E356" s="420"/>
      <c r="F356" s="650">
        <v>0</v>
      </c>
      <c r="G356" s="651"/>
      <c r="H356" s="593">
        <v>0</v>
      </c>
      <c r="I356" s="98">
        <f t="shared" si="21"/>
        <v>0</v>
      </c>
      <c r="J356" s="98">
        <f t="shared" si="21"/>
        <v>0</v>
      </c>
      <c r="K356" s="96">
        <f t="shared" si="22"/>
        <v>0</v>
      </c>
      <c r="L356" s="96"/>
      <c r="M356" s="96">
        <f t="shared" si="23"/>
        <v>0</v>
      </c>
      <c r="N356" s="107">
        <f>SUMIF([1]CRJ!$H$880:$H$894,B356:B761,[1]CRJ!$J$880:$J$894)</f>
        <v>0</v>
      </c>
      <c r="O356" s="100">
        <f>SUMIF([1]CRJ!$H$880:$H$894,B356:B761,[1]CRJ!$K$880:$K$894)</f>
        <v>0</v>
      </c>
      <c r="P356" s="100">
        <f>SUMIF([1]ChkDJ!$H$849:$H$867,B356:B761,[1]ChkDJ!$J$849:$J$867)</f>
        <v>0</v>
      </c>
      <c r="Q356" s="100">
        <f>SUMIF([1]ChkDJ!$H$849:$H$867,B356:B761,[1]ChkDJ!$K$849:$K$867)</f>
        <v>0</v>
      </c>
      <c r="R356" s="100">
        <f>SUMIF([1]CDJ!$H$190:$H$197,B356:B761,[1]CDJ!$J$190:$J$197)</f>
        <v>0</v>
      </c>
      <c r="S356" s="100">
        <f>SUMIF([1]CDJ!$H$190:$H$197,B356:B761,[1]CDJ!$K$190:$K$197)</f>
        <v>0</v>
      </c>
      <c r="T356" s="102">
        <f>SUMIF([1]GL!$H$448:$H$480,B356:B766,[1]GL!$J$448:$J$487)</f>
        <v>0</v>
      </c>
      <c r="U356" s="100">
        <f>SUMIF([1]GL!$H$448:$H$480,B356:B766,[1]GL!$K$448:$K$487)</f>
        <v>0</v>
      </c>
      <c r="V356" s="102"/>
      <c r="W356" s="100"/>
      <c r="X356" s="101"/>
      <c r="Y356" s="353"/>
    </row>
    <row r="357" spans="1:25" s="350" customFormat="1" ht="15.75" hidden="1" customHeight="1">
      <c r="A357" s="427" t="s">
        <v>760</v>
      </c>
      <c r="B357" s="423">
        <v>851</v>
      </c>
      <c r="C357" s="94">
        <f t="shared" si="17"/>
        <v>0</v>
      </c>
      <c r="D357" s="94"/>
      <c r="E357" s="420"/>
      <c r="F357" s="650">
        <v>0</v>
      </c>
      <c r="G357" s="651"/>
      <c r="H357" s="593">
        <v>0</v>
      </c>
      <c r="I357" s="98">
        <f t="shared" si="21"/>
        <v>0</v>
      </c>
      <c r="J357" s="98">
        <f t="shared" si="21"/>
        <v>0</v>
      </c>
      <c r="K357" s="96">
        <f t="shared" si="22"/>
        <v>0</v>
      </c>
      <c r="L357" s="96"/>
      <c r="M357" s="96">
        <f t="shared" si="23"/>
        <v>0</v>
      </c>
      <c r="N357" s="107">
        <f>SUMIF([1]CRJ!$H$880:$H$894,B357:B762,[1]CRJ!$J$880:$J$894)</f>
        <v>0</v>
      </c>
      <c r="O357" s="100">
        <f>SUMIF([1]CRJ!$H$880:$H$894,B357:B762,[1]CRJ!$K$880:$K$894)</f>
        <v>0</v>
      </c>
      <c r="P357" s="100">
        <f>SUMIF([1]ChkDJ!$H$849:$H$867,B357:B762,[1]ChkDJ!$J$849:$J$867)</f>
        <v>0</v>
      </c>
      <c r="Q357" s="100">
        <f>SUMIF([1]ChkDJ!$H$849:$H$867,B357:B762,[1]ChkDJ!$K$849:$K$867)</f>
        <v>0</v>
      </c>
      <c r="R357" s="100">
        <f>SUMIF([1]CDJ!$H$190:$H$197,B357:B762,[1]CDJ!$J$190:$J$197)</f>
        <v>0</v>
      </c>
      <c r="S357" s="100">
        <f>SUMIF([1]CDJ!$H$190:$H$197,B357:B762,[1]CDJ!$K$190:$K$197)</f>
        <v>0</v>
      </c>
      <c r="T357" s="102">
        <f>SUMIF([1]GL!$H$448:$H$480,B357:B767,[1]GL!$J$448:$J$487)</f>
        <v>0</v>
      </c>
      <c r="U357" s="100">
        <f>SUMIF([1]GL!$H$448:$H$480,B357:B767,[1]GL!$K$448:$K$487)</f>
        <v>0</v>
      </c>
      <c r="V357" s="102"/>
      <c r="W357" s="100"/>
      <c r="X357" s="101"/>
      <c r="Y357" s="353"/>
    </row>
    <row r="358" spans="1:25" s="350" customFormat="1" ht="15.75" hidden="1" customHeight="1">
      <c r="A358" s="427" t="s">
        <v>761</v>
      </c>
      <c r="B358" s="423">
        <v>852</v>
      </c>
      <c r="C358" s="94">
        <f t="shared" si="17"/>
        <v>0</v>
      </c>
      <c r="D358" s="94"/>
      <c r="E358" s="420"/>
      <c r="F358" s="650">
        <v>0</v>
      </c>
      <c r="G358" s="651"/>
      <c r="H358" s="593">
        <v>0</v>
      </c>
      <c r="I358" s="98">
        <f t="shared" si="21"/>
        <v>0</v>
      </c>
      <c r="J358" s="98">
        <f t="shared" si="21"/>
        <v>0</v>
      </c>
      <c r="K358" s="96">
        <f t="shared" si="22"/>
        <v>0</v>
      </c>
      <c r="L358" s="96"/>
      <c r="M358" s="96">
        <f t="shared" si="23"/>
        <v>0</v>
      </c>
      <c r="N358" s="107">
        <f>SUMIF([1]CRJ!$H$880:$H$894,B358:B763,[1]CRJ!$J$880:$J$894)</f>
        <v>0</v>
      </c>
      <c r="O358" s="100">
        <f>SUMIF([1]CRJ!$H$880:$H$894,B358:B763,[1]CRJ!$K$880:$K$894)</f>
        <v>0</v>
      </c>
      <c r="P358" s="100">
        <f>SUMIF([1]ChkDJ!$H$849:$H$867,B358:B763,[1]ChkDJ!$J$849:$J$867)</f>
        <v>0</v>
      </c>
      <c r="Q358" s="100">
        <f>SUMIF([1]ChkDJ!$H$849:$H$867,B358:B763,[1]ChkDJ!$K$849:$K$867)</f>
        <v>0</v>
      </c>
      <c r="R358" s="100">
        <f>SUMIF([1]CDJ!$H$190:$H$197,B358:B763,[1]CDJ!$J$190:$J$197)</f>
        <v>0</v>
      </c>
      <c r="S358" s="100">
        <f>SUMIF([1]CDJ!$H$190:$H$197,B358:B763,[1]CDJ!$K$190:$K$197)</f>
        <v>0</v>
      </c>
      <c r="T358" s="102">
        <f>SUMIF([1]GL!$H$448:$H$480,B358:B768,[1]GL!$J$448:$J$487)</f>
        <v>0</v>
      </c>
      <c r="U358" s="100">
        <f>SUMIF([1]GL!$H$448:$H$480,B358:B768,[1]GL!$K$448:$K$487)</f>
        <v>0</v>
      </c>
      <c r="V358" s="102"/>
      <c r="W358" s="100"/>
      <c r="X358" s="101"/>
      <c r="Y358" s="353"/>
    </row>
    <row r="359" spans="1:25" s="350" customFormat="1" ht="15.75" hidden="1" customHeight="1">
      <c r="A359" s="427" t="s">
        <v>762</v>
      </c>
      <c r="B359" s="423">
        <v>853</v>
      </c>
      <c r="C359" s="94">
        <f t="shared" si="17"/>
        <v>0</v>
      </c>
      <c r="D359" s="94"/>
      <c r="E359" s="420"/>
      <c r="F359" s="650">
        <v>0</v>
      </c>
      <c r="G359" s="651"/>
      <c r="H359" s="593">
        <v>0</v>
      </c>
      <c r="I359" s="98">
        <f t="shared" si="21"/>
        <v>0</v>
      </c>
      <c r="J359" s="98">
        <f t="shared" si="21"/>
        <v>0</v>
      </c>
      <c r="K359" s="96">
        <f t="shared" si="22"/>
        <v>0</v>
      </c>
      <c r="L359" s="96"/>
      <c r="M359" s="96">
        <f t="shared" si="23"/>
        <v>0</v>
      </c>
      <c r="N359" s="107">
        <f>SUMIF([1]CRJ!$H$880:$H$894,B359:B764,[1]CRJ!$J$880:$J$894)</f>
        <v>0</v>
      </c>
      <c r="O359" s="100">
        <f>SUMIF([1]CRJ!$H$880:$H$894,B359:B764,[1]CRJ!$K$880:$K$894)</f>
        <v>0</v>
      </c>
      <c r="P359" s="100">
        <f>SUMIF([1]ChkDJ!$H$849:$H$867,B359:B764,[1]ChkDJ!$J$849:$J$867)</f>
        <v>0</v>
      </c>
      <c r="Q359" s="100">
        <f>SUMIF([1]ChkDJ!$H$849:$H$867,B359:B764,[1]ChkDJ!$K$849:$K$867)</f>
        <v>0</v>
      </c>
      <c r="R359" s="100">
        <f>SUMIF([1]CDJ!$H$190:$H$197,B359:B764,[1]CDJ!$J$190:$J$197)</f>
        <v>0</v>
      </c>
      <c r="S359" s="100">
        <f>SUMIF([1]CDJ!$H$190:$H$197,B359:B764,[1]CDJ!$K$190:$K$197)</f>
        <v>0</v>
      </c>
      <c r="T359" s="102">
        <f>SUMIF([1]GL!$H$448:$H$480,B359:B769,[1]GL!$J$448:$J$487)</f>
        <v>0</v>
      </c>
      <c r="U359" s="100">
        <f>SUMIF([1]GL!$H$448:$H$480,B359:B769,[1]GL!$K$448:$K$487)</f>
        <v>0</v>
      </c>
      <c r="V359" s="102"/>
      <c r="W359" s="100"/>
      <c r="X359" s="101"/>
      <c r="Y359" s="353"/>
    </row>
    <row r="360" spans="1:25" s="350" customFormat="1" ht="15.75" hidden="1" customHeight="1">
      <c r="A360" s="427" t="s">
        <v>763</v>
      </c>
      <c r="B360" s="423">
        <v>854</v>
      </c>
      <c r="C360" s="94">
        <f t="shared" si="17"/>
        <v>0</v>
      </c>
      <c r="D360" s="94"/>
      <c r="E360" s="420"/>
      <c r="F360" s="650">
        <v>0</v>
      </c>
      <c r="G360" s="651"/>
      <c r="H360" s="593">
        <v>0</v>
      </c>
      <c r="I360" s="98">
        <f t="shared" si="21"/>
        <v>0</v>
      </c>
      <c r="J360" s="98">
        <f t="shared" si="21"/>
        <v>0</v>
      </c>
      <c r="K360" s="96">
        <f t="shared" si="22"/>
        <v>0</v>
      </c>
      <c r="L360" s="96"/>
      <c r="M360" s="96">
        <f t="shared" si="23"/>
        <v>0</v>
      </c>
      <c r="N360" s="107">
        <f>SUMIF([1]CRJ!$H$880:$H$894,B360:B765,[1]CRJ!$J$880:$J$894)</f>
        <v>0</v>
      </c>
      <c r="O360" s="100">
        <f>SUMIF([1]CRJ!$H$880:$H$894,B360:B765,[1]CRJ!$K$880:$K$894)</f>
        <v>0</v>
      </c>
      <c r="P360" s="100">
        <f>SUMIF([1]ChkDJ!$H$849:$H$867,B360:B765,[1]ChkDJ!$J$849:$J$867)</f>
        <v>0</v>
      </c>
      <c r="Q360" s="100">
        <f>SUMIF([1]ChkDJ!$H$849:$H$867,B360:B765,[1]ChkDJ!$K$849:$K$867)</f>
        <v>0</v>
      </c>
      <c r="R360" s="100">
        <f>SUMIF([1]CDJ!$H$190:$H$197,B360:B765,[1]CDJ!$J$190:$J$197)</f>
        <v>0</v>
      </c>
      <c r="S360" s="100">
        <f>SUMIF([1]CDJ!$H$190:$H$197,B360:B765,[1]CDJ!$K$190:$K$197)</f>
        <v>0</v>
      </c>
      <c r="T360" s="102">
        <f>SUMIF([1]GL!$H$448:$H$480,B360:B770,[1]GL!$J$448:$J$487)</f>
        <v>0</v>
      </c>
      <c r="U360" s="100">
        <f>SUMIF([1]GL!$H$448:$H$480,B360:B770,[1]GL!$K$448:$K$487)</f>
        <v>0</v>
      </c>
      <c r="V360" s="102"/>
      <c r="W360" s="100"/>
      <c r="X360" s="101"/>
      <c r="Y360" s="353"/>
    </row>
    <row r="361" spans="1:25" s="350" customFormat="1" ht="15.75" hidden="1" customHeight="1">
      <c r="A361" s="427" t="s">
        <v>764</v>
      </c>
      <c r="B361" s="423">
        <v>855</v>
      </c>
      <c r="C361" s="94">
        <f t="shared" si="17"/>
        <v>0</v>
      </c>
      <c r="D361" s="94"/>
      <c r="E361" s="420"/>
      <c r="F361" s="650">
        <v>0</v>
      </c>
      <c r="G361" s="651"/>
      <c r="H361" s="593">
        <v>0</v>
      </c>
      <c r="I361" s="98">
        <f t="shared" si="21"/>
        <v>0</v>
      </c>
      <c r="J361" s="98">
        <f t="shared" si="21"/>
        <v>0</v>
      </c>
      <c r="K361" s="96">
        <f t="shared" si="22"/>
        <v>0</v>
      </c>
      <c r="L361" s="96"/>
      <c r="M361" s="96">
        <f t="shared" si="23"/>
        <v>0</v>
      </c>
      <c r="N361" s="107">
        <f>SUMIF([1]CRJ!$H$880:$H$894,B361:B766,[1]CRJ!$J$880:$J$894)</f>
        <v>0</v>
      </c>
      <c r="O361" s="100">
        <f>SUMIF([1]CRJ!$H$880:$H$894,B361:B766,[1]CRJ!$K$880:$K$894)</f>
        <v>0</v>
      </c>
      <c r="P361" s="100">
        <f>SUMIF([1]ChkDJ!$H$849:$H$867,B361:B766,[1]ChkDJ!$J$849:$J$867)</f>
        <v>0</v>
      </c>
      <c r="Q361" s="100">
        <f>SUMIF([1]ChkDJ!$H$849:$H$867,B361:B766,[1]ChkDJ!$K$849:$K$867)</f>
        <v>0</v>
      </c>
      <c r="R361" s="100">
        <f>SUMIF([1]CDJ!$H$190:$H$197,B361:B766,[1]CDJ!$J$190:$J$197)</f>
        <v>0</v>
      </c>
      <c r="S361" s="100">
        <f>SUMIF([1]CDJ!$H$190:$H$197,B361:B766,[1]CDJ!$K$190:$K$197)</f>
        <v>0</v>
      </c>
      <c r="T361" s="102">
        <f>SUMIF([1]GL!$H$448:$H$480,B361:B771,[1]GL!$J$448:$J$487)</f>
        <v>0</v>
      </c>
      <c r="U361" s="100">
        <f>SUMIF([1]GL!$H$448:$H$480,B361:B771,[1]GL!$K$448:$K$487)</f>
        <v>0</v>
      </c>
      <c r="V361" s="102"/>
      <c r="W361" s="100"/>
      <c r="X361" s="101"/>
      <c r="Y361" s="353"/>
    </row>
    <row r="362" spans="1:25" s="350" customFormat="1" ht="15.75" hidden="1" customHeight="1">
      <c r="A362" s="427" t="s">
        <v>765</v>
      </c>
      <c r="B362" s="423">
        <v>856</v>
      </c>
      <c r="C362" s="94">
        <f t="shared" si="17"/>
        <v>0</v>
      </c>
      <c r="D362" s="94"/>
      <c r="E362" s="420"/>
      <c r="F362" s="650">
        <v>0</v>
      </c>
      <c r="G362" s="651"/>
      <c r="H362" s="593">
        <v>0</v>
      </c>
      <c r="I362" s="98">
        <f t="shared" si="21"/>
        <v>0</v>
      </c>
      <c r="J362" s="98">
        <f t="shared" si="21"/>
        <v>0</v>
      </c>
      <c r="K362" s="96">
        <f t="shared" si="22"/>
        <v>0</v>
      </c>
      <c r="L362" s="96"/>
      <c r="M362" s="96">
        <f t="shared" si="23"/>
        <v>0</v>
      </c>
      <c r="N362" s="107">
        <f>SUMIF([1]CRJ!$H$880:$H$894,B362:B767,[1]CRJ!$J$880:$J$894)</f>
        <v>0</v>
      </c>
      <c r="O362" s="100">
        <f>SUMIF([1]CRJ!$H$880:$H$894,B362:B767,[1]CRJ!$K$880:$K$894)</f>
        <v>0</v>
      </c>
      <c r="P362" s="100">
        <f>SUMIF([1]ChkDJ!$H$849:$H$867,B362:B767,[1]ChkDJ!$J$849:$J$867)</f>
        <v>0</v>
      </c>
      <c r="Q362" s="100">
        <f>SUMIF([1]ChkDJ!$H$849:$H$867,B362:B767,[1]ChkDJ!$K$849:$K$867)</f>
        <v>0</v>
      </c>
      <c r="R362" s="100">
        <f>SUMIF([1]CDJ!$H$190:$H$197,B362:B767,[1]CDJ!$J$190:$J$197)</f>
        <v>0</v>
      </c>
      <c r="S362" s="100">
        <f>SUMIF([1]CDJ!$H$190:$H$197,B362:B767,[1]CDJ!$K$190:$K$197)</f>
        <v>0</v>
      </c>
      <c r="T362" s="102">
        <f>SUMIF([1]GL!$H$448:$H$480,B362:B772,[1]GL!$J$448:$J$487)</f>
        <v>0</v>
      </c>
      <c r="U362" s="100">
        <f>SUMIF([1]GL!$H$448:$H$480,B362:B772,[1]GL!$K$448:$K$487)</f>
        <v>0</v>
      </c>
      <c r="V362" s="102"/>
      <c r="W362" s="100"/>
      <c r="X362" s="101"/>
      <c r="Y362" s="353"/>
    </row>
    <row r="363" spans="1:25" s="350" customFormat="1" ht="15.75" hidden="1" customHeight="1">
      <c r="A363" s="427" t="s">
        <v>766</v>
      </c>
      <c r="B363" s="423">
        <v>857</v>
      </c>
      <c r="C363" s="94">
        <f t="shared" si="17"/>
        <v>0</v>
      </c>
      <c r="D363" s="94"/>
      <c r="E363" s="420"/>
      <c r="F363" s="650">
        <v>0</v>
      </c>
      <c r="G363" s="651"/>
      <c r="H363" s="593">
        <v>0</v>
      </c>
      <c r="I363" s="98">
        <f t="shared" si="21"/>
        <v>0</v>
      </c>
      <c r="J363" s="98">
        <f t="shared" si="21"/>
        <v>0</v>
      </c>
      <c r="K363" s="96">
        <f t="shared" si="22"/>
        <v>0</v>
      </c>
      <c r="L363" s="96"/>
      <c r="M363" s="96">
        <f t="shared" si="23"/>
        <v>0</v>
      </c>
      <c r="N363" s="107">
        <f>SUMIF([1]CRJ!$H$880:$H$894,B363:B768,[1]CRJ!$J$880:$J$894)</f>
        <v>0</v>
      </c>
      <c r="O363" s="100">
        <f>SUMIF([1]CRJ!$H$880:$H$894,B363:B768,[1]CRJ!$K$880:$K$894)</f>
        <v>0</v>
      </c>
      <c r="P363" s="100">
        <f>SUMIF([1]ChkDJ!$H$849:$H$867,B363:B768,[1]ChkDJ!$J$849:$J$867)</f>
        <v>0</v>
      </c>
      <c r="Q363" s="100">
        <f>SUMIF([1]ChkDJ!$H$849:$H$867,B363:B768,[1]ChkDJ!$K$849:$K$867)</f>
        <v>0</v>
      </c>
      <c r="R363" s="100">
        <f>SUMIF([1]CDJ!$H$190:$H$197,B363:B768,[1]CDJ!$J$190:$J$197)</f>
        <v>0</v>
      </c>
      <c r="S363" s="100">
        <f>SUMIF([1]CDJ!$H$190:$H$197,B363:B768,[1]CDJ!$K$190:$K$197)</f>
        <v>0</v>
      </c>
      <c r="T363" s="102">
        <f>SUMIF([1]GL!$H$448:$H$480,B363:B773,[1]GL!$J$448:$J$487)</f>
        <v>0</v>
      </c>
      <c r="U363" s="100">
        <f>SUMIF([1]GL!$H$448:$H$480,B363:B773,[1]GL!$K$448:$K$487)</f>
        <v>0</v>
      </c>
      <c r="V363" s="102"/>
      <c r="W363" s="100"/>
      <c r="X363" s="101"/>
      <c r="Y363" s="353"/>
    </row>
    <row r="364" spans="1:25" s="350" customFormat="1" ht="15.75" hidden="1" customHeight="1">
      <c r="A364" s="427" t="s">
        <v>767</v>
      </c>
      <c r="B364" s="423">
        <v>860</v>
      </c>
      <c r="C364" s="94">
        <f t="shared" si="17"/>
        <v>0</v>
      </c>
      <c r="D364" s="94"/>
      <c r="E364" s="420"/>
      <c r="F364" s="650">
        <v>0</v>
      </c>
      <c r="G364" s="651"/>
      <c r="H364" s="593">
        <v>0</v>
      </c>
      <c r="I364" s="98">
        <f t="shared" si="21"/>
        <v>0</v>
      </c>
      <c r="J364" s="98">
        <f t="shared" si="21"/>
        <v>0</v>
      </c>
      <c r="K364" s="96">
        <f t="shared" si="22"/>
        <v>0</v>
      </c>
      <c r="L364" s="96"/>
      <c r="M364" s="96">
        <f t="shared" si="23"/>
        <v>0</v>
      </c>
      <c r="N364" s="107">
        <f>SUMIF([1]CRJ!$H$880:$H$894,B364:B769,[1]CRJ!$J$880:$J$894)</f>
        <v>0</v>
      </c>
      <c r="O364" s="100">
        <f>SUMIF([1]CRJ!$H$880:$H$894,B364:B769,[1]CRJ!$K$880:$K$894)</f>
        <v>0</v>
      </c>
      <c r="P364" s="100">
        <f>SUMIF([1]ChkDJ!$H$849:$H$867,B364:B769,[1]ChkDJ!$J$849:$J$867)</f>
        <v>0</v>
      </c>
      <c r="Q364" s="100">
        <f>SUMIF([1]ChkDJ!$H$849:$H$867,B364:B769,[1]ChkDJ!$K$849:$K$867)</f>
        <v>0</v>
      </c>
      <c r="R364" s="100">
        <f>SUMIF([1]CDJ!$H$190:$H$197,B364:B769,[1]CDJ!$J$190:$J$197)</f>
        <v>0</v>
      </c>
      <c r="S364" s="100">
        <f>SUMIF([1]CDJ!$H$190:$H$197,B364:B769,[1]CDJ!$K$190:$K$197)</f>
        <v>0</v>
      </c>
      <c r="T364" s="102">
        <f>SUMIF([1]GL!$H$448:$H$480,B364:B774,[1]GL!$J$448:$J$487)</f>
        <v>0</v>
      </c>
      <c r="U364" s="100">
        <f>SUMIF([1]GL!$H$448:$H$480,B364:B774,[1]GL!$K$448:$K$487)</f>
        <v>0</v>
      </c>
      <c r="V364" s="102"/>
      <c r="W364" s="100"/>
      <c r="X364" s="101"/>
      <c r="Y364" s="353"/>
    </row>
    <row r="365" spans="1:25" s="350" customFormat="1" ht="15.75" hidden="1" customHeight="1">
      <c r="A365" s="427" t="s">
        <v>768</v>
      </c>
      <c r="B365" s="423">
        <v>861</v>
      </c>
      <c r="C365" s="94">
        <f t="shared" si="17"/>
        <v>0</v>
      </c>
      <c r="D365" s="94"/>
      <c r="E365" s="420"/>
      <c r="F365" s="650">
        <v>0</v>
      </c>
      <c r="G365" s="651"/>
      <c r="H365" s="593">
        <v>0</v>
      </c>
      <c r="I365" s="98">
        <f t="shared" si="21"/>
        <v>0</v>
      </c>
      <c r="J365" s="98">
        <f t="shared" si="21"/>
        <v>0</v>
      </c>
      <c r="K365" s="96">
        <f t="shared" si="22"/>
        <v>0</v>
      </c>
      <c r="L365" s="96"/>
      <c r="M365" s="96">
        <f t="shared" si="23"/>
        <v>0</v>
      </c>
      <c r="N365" s="107">
        <f>SUMIF([1]CRJ!$H$880:$H$894,B365:B770,[1]CRJ!$J$880:$J$894)</f>
        <v>0</v>
      </c>
      <c r="O365" s="100">
        <f>SUMIF([1]CRJ!$H$880:$H$894,B365:B770,[1]CRJ!$K$880:$K$894)</f>
        <v>0</v>
      </c>
      <c r="P365" s="100">
        <f>SUMIF([1]ChkDJ!$H$849:$H$867,B365:B770,[1]ChkDJ!$J$849:$J$867)</f>
        <v>0</v>
      </c>
      <c r="Q365" s="100">
        <f>SUMIF([1]ChkDJ!$H$849:$H$867,B365:B770,[1]ChkDJ!$K$849:$K$867)</f>
        <v>0</v>
      </c>
      <c r="R365" s="100">
        <f>SUMIF([1]CDJ!$H$190:$H$197,B365:B770,[1]CDJ!$J$190:$J$197)</f>
        <v>0</v>
      </c>
      <c r="S365" s="100">
        <f>SUMIF([1]CDJ!$H$190:$H$197,B365:B770,[1]CDJ!$K$190:$K$197)</f>
        <v>0</v>
      </c>
      <c r="T365" s="102">
        <f>SUMIF([1]GL!$H$448:$H$480,B365:B775,[1]GL!$J$448:$J$487)</f>
        <v>0</v>
      </c>
      <c r="U365" s="100">
        <f>SUMIF([1]GL!$H$448:$H$480,B365:B775,[1]GL!$K$448:$K$487)</f>
        <v>0</v>
      </c>
      <c r="V365" s="102"/>
      <c r="W365" s="100"/>
      <c r="X365" s="101"/>
      <c r="Y365" s="353"/>
    </row>
    <row r="366" spans="1:25" s="350" customFormat="1" ht="15.75" hidden="1" customHeight="1">
      <c r="A366" s="419" t="s">
        <v>769</v>
      </c>
      <c r="B366" s="423">
        <v>862</v>
      </c>
      <c r="C366" s="94">
        <f t="shared" si="17"/>
        <v>0</v>
      </c>
      <c r="D366" s="94"/>
      <c r="E366" s="420"/>
      <c r="F366" s="650">
        <v>0</v>
      </c>
      <c r="G366" s="651"/>
      <c r="H366" s="593">
        <v>0</v>
      </c>
      <c r="I366" s="98">
        <f t="shared" si="21"/>
        <v>0</v>
      </c>
      <c r="J366" s="98">
        <f t="shared" si="21"/>
        <v>0</v>
      </c>
      <c r="K366" s="96">
        <f t="shared" si="22"/>
        <v>0</v>
      </c>
      <c r="L366" s="96"/>
      <c r="M366" s="96">
        <f t="shared" si="23"/>
        <v>0</v>
      </c>
      <c r="N366" s="107">
        <f>SUMIF([1]CRJ!$H$880:$H$894,B366:B771,[1]CRJ!$J$880:$J$894)</f>
        <v>0</v>
      </c>
      <c r="O366" s="100">
        <f>SUMIF([1]CRJ!$H$880:$H$894,B366:B771,[1]CRJ!$K$880:$K$894)</f>
        <v>0</v>
      </c>
      <c r="P366" s="100">
        <f>SUMIF([1]ChkDJ!$H$849:$H$867,B366:B771,[1]ChkDJ!$J$849:$J$867)</f>
        <v>0</v>
      </c>
      <c r="Q366" s="100">
        <f>SUMIF([1]ChkDJ!$H$849:$H$867,B366:B771,[1]ChkDJ!$K$849:$K$867)</f>
        <v>0</v>
      </c>
      <c r="R366" s="100">
        <f>SUMIF([1]CDJ!$H$190:$H$197,B366:B771,[1]CDJ!$J$190:$J$197)</f>
        <v>0</v>
      </c>
      <c r="S366" s="100">
        <f>SUMIF([1]CDJ!$H$190:$H$197,B366:B771,[1]CDJ!$K$190:$K$197)</f>
        <v>0</v>
      </c>
      <c r="T366" s="102">
        <f>SUMIF([1]GL!$H$448:$H$480,B366:B776,[1]GL!$J$448:$J$487)</f>
        <v>0</v>
      </c>
      <c r="U366" s="100">
        <f>SUMIF([1]GL!$H$448:$H$480,B366:B776,[1]GL!$K$448:$K$487)</f>
        <v>0</v>
      </c>
      <c r="V366" s="102"/>
      <c r="W366" s="100"/>
      <c r="X366" s="101"/>
      <c r="Y366" s="353"/>
    </row>
    <row r="367" spans="1:25" s="105" customFormat="1" ht="15.75" hidden="1" customHeight="1">
      <c r="A367" s="73" t="s">
        <v>255</v>
      </c>
      <c r="B367" s="513">
        <v>871</v>
      </c>
      <c r="C367" s="94">
        <f t="shared" si="17"/>
        <v>0</v>
      </c>
      <c r="D367" s="94"/>
      <c r="E367" s="94"/>
      <c r="F367" s="653">
        <v>0</v>
      </c>
      <c r="G367" s="98"/>
      <c r="H367" s="96">
        <v>0</v>
      </c>
      <c r="I367" s="98">
        <f t="shared" si="21"/>
        <v>0</v>
      </c>
      <c r="J367" s="98">
        <f t="shared" si="21"/>
        <v>0</v>
      </c>
      <c r="K367" s="96">
        <f t="shared" si="22"/>
        <v>0</v>
      </c>
      <c r="L367" s="96"/>
      <c r="M367" s="96">
        <f t="shared" si="23"/>
        <v>0</v>
      </c>
      <c r="N367" s="107">
        <f>SUMIF([1]CRJ!$H$880:$H$894,B367:B772,[1]CRJ!$J$880:$J$894)</f>
        <v>0</v>
      </c>
      <c r="O367" s="100">
        <f>SUMIF([1]CRJ!$H$880:$H$894,B367:B772,[1]CRJ!$K$880:$K$894)</f>
        <v>0</v>
      </c>
      <c r="P367" s="100">
        <f>SUMIF([1]ChkDJ!$H$849:$H$867,B367:B772,[1]ChkDJ!$J$849:$J$867)</f>
        <v>0</v>
      </c>
      <c r="Q367" s="100">
        <f>SUMIF([1]ChkDJ!$H$849:$H$867,B367:B772,[1]ChkDJ!$K$849:$K$867)</f>
        <v>0</v>
      </c>
      <c r="R367" s="100">
        <f>SUMIF([1]CDJ!$H$190:$H$197,B367:B772,[1]CDJ!$J$190:$J$197)</f>
        <v>0</v>
      </c>
      <c r="S367" s="100">
        <f>SUMIF([1]CDJ!$H$190:$H$197,B367:B772,[1]CDJ!$K$190:$K$197)</f>
        <v>0</v>
      </c>
      <c r="T367" s="102">
        <f>SUMIF([1]GL!$H$448:$H$480,B367:B777,[1]GL!$J$448:$J$487)</f>
        <v>0</v>
      </c>
      <c r="U367" s="100">
        <f>SUMIF([1]GL!$H$448:$H$480,B367:B777,[1]GL!$K$448:$K$487)</f>
        <v>0</v>
      </c>
      <c r="V367" s="102"/>
      <c r="W367" s="100"/>
      <c r="X367" s="101"/>
      <c r="Y367" s="353"/>
    </row>
    <row r="368" spans="1:25" s="105" customFormat="1" ht="15.75" hidden="1" customHeight="1">
      <c r="A368" s="73" t="s">
        <v>103</v>
      </c>
      <c r="B368" s="513">
        <v>874</v>
      </c>
      <c r="C368" s="94">
        <f t="shared" si="17"/>
        <v>0</v>
      </c>
      <c r="D368" s="94"/>
      <c r="E368" s="94"/>
      <c r="F368" s="653">
        <v>0</v>
      </c>
      <c r="G368" s="98"/>
      <c r="H368" s="96">
        <v>0</v>
      </c>
      <c r="I368" s="98">
        <f t="shared" si="21"/>
        <v>0</v>
      </c>
      <c r="J368" s="98">
        <f t="shared" si="21"/>
        <v>0</v>
      </c>
      <c r="K368" s="96">
        <f t="shared" si="22"/>
        <v>0</v>
      </c>
      <c r="L368" s="96"/>
      <c r="M368" s="96">
        <f t="shared" si="23"/>
        <v>0</v>
      </c>
      <c r="N368" s="107">
        <f>SUMIF([1]CRJ!$H$880:$H$894,B368:B773,[1]CRJ!$J$880:$J$894)</f>
        <v>0</v>
      </c>
      <c r="O368" s="100">
        <f>SUMIF([1]CRJ!$H$880:$H$894,B368:B773,[1]CRJ!$K$880:$K$894)</f>
        <v>0</v>
      </c>
      <c r="P368" s="100">
        <f>SUMIF([1]ChkDJ!$H$849:$H$867,B368:B773,[1]ChkDJ!$J$849:$J$867)</f>
        <v>0</v>
      </c>
      <c r="Q368" s="100">
        <f>SUMIF([1]ChkDJ!$H$849:$H$867,B368:B773,[1]ChkDJ!$K$849:$K$867)</f>
        <v>0</v>
      </c>
      <c r="R368" s="100">
        <f>SUMIF([1]CDJ!$H$190:$H$197,B368:B773,[1]CDJ!$J$190:$J$197)</f>
        <v>0</v>
      </c>
      <c r="S368" s="100">
        <f>SUMIF([1]CDJ!$H$190:$H$197,B368:B773,[1]CDJ!$K$190:$K$197)</f>
        <v>0</v>
      </c>
      <c r="T368" s="102">
        <f>SUMIF([1]GL!$H$448:$H$480,B368:B778,[1]GL!$J$448:$J$487)</f>
        <v>0</v>
      </c>
      <c r="U368" s="100">
        <f>SUMIF([1]GL!$H$448:$H$480,B368:B778,[1]GL!$K$448:$K$487)</f>
        <v>0</v>
      </c>
      <c r="V368" s="102"/>
      <c r="W368" s="100"/>
      <c r="X368" s="101"/>
      <c r="Y368" s="353"/>
    </row>
    <row r="369" spans="1:25" s="350" customFormat="1" ht="15.75" hidden="1" customHeight="1">
      <c r="A369" s="427" t="s">
        <v>770</v>
      </c>
      <c r="B369" s="423">
        <v>875</v>
      </c>
      <c r="C369" s="94">
        <f t="shared" si="17"/>
        <v>0</v>
      </c>
      <c r="D369" s="94"/>
      <c r="E369" s="420"/>
      <c r="F369" s="650">
        <v>0</v>
      </c>
      <c r="G369" s="651"/>
      <c r="H369" s="593">
        <v>0</v>
      </c>
      <c r="I369" s="98">
        <f t="shared" si="21"/>
        <v>0</v>
      </c>
      <c r="J369" s="98">
        <f t="shared" si="21"/>
        <v>0</v>
      </c>
      <c r="K369" s="96">
        <f t="shared" si="22"/>
        <v>0</v>
      </c>
      <c r="L369" s="96"/>
      <c r="M369" s="96">
        <f t="shared" si="23"/>
        <v>0</v>
      </c>
      <c r="N369" s="107">
        <f>SUMIF([1]CRJ!$H$880:$H$894,B369:B774,[1]CRJ!$J$880:$J$894)</f>
        <v>0</v>
      </c>
      <c r="O369" s="100">
        <f>SUMIF([1]CRJ!$H$880:$H$894,B369:B774,[1]CRJ!$K$880:$K$894)</f>
        <v>0</v>
      </c>
      <c r="P369" s="100">
        <f>SUMIF([1]ChkDJ!$H$849:$H$867,B369:B774,[1]ChkDJ!$J$849:$J$867)</f>
        <v>0</v>
      </c>
      <c r="Q369" s="100">
        <f>SUMIF([1]ChkDJ!$H$849:$H$867,B369:B774,[1]ChkDJ!$K$849:$K$867)</f>
        <v>0</v>
      </c>
      <c r="R369" s="100">
        <f>SUMIF([1]CDJ!$H$190:$H$197,B369:B774,[1]CDJ!$J$190:$J$197)</f>
        <v>0</v>
      </c>
      <c r="S369" s="100">
        <f>SUMIF([1]CDJ!$H$190:$H$197,B369:B774,[1]CDJ!$K$190:$K$197)</f>
        <v>0</v>
      </c>
      <c r="T369" s="102">
        <f>SUMIF([1]GL!$H$448:$H$480,B369:B779,[1]GL!$J$448:$J$487)</f>
        <v>0</v>
      </c>
      <c r="U369" s="100">
        <f>SUMIF([1]GL!$H$448:$H$480,B369:B779,[1]GL!$K$448:$K$487)</f>
        <v>0</v>
      </c>
      <c r="V369" s="102"/>
      <c r="W369" s="100"/>
      <c r="X369" s="101"/>
      <c r="Y369" s="353"/>
    </row>
    <row r="370" spans="1:25" s="105" customFormat="1" ht="15.75" hidden="1" customHeight="1">
      <c r="A370" s="73" t="s">
        <v>104</v>
      </c>
      <c r="B370" s="513">
        <v>876</v>
      </c>
      <c r="C370" s="94">
        <f t="shared" si="17"/>
        <v>0</v>
      </c>
      <c r="D370" s="94"/>
      <c r="E370" s="94"/>
      <c r="F370" s="653">
        <v>0</v>
      </c>
      <c r="G370" s="98"/>
      <c r="H370" s="96">
        <v>0</v>
      </c>
      <c r="I370" s="98">
        <f t="shared" si="21"/>
        <v>0</v>
      </c>
      <c r="J370" s="98">
        <f t="shared" si="21"/>
        <v>0</v>
      </c>
      <c r="K370" s="96">
        <f t="shared" si="22"/>
        <v>0</v>
      </c>
      <c r="L370" s="96"/>
      <c r="M370" s="96">
        <f t="shared" si="23"/>
        <v>0</v>
      </c>
      <c r="N370" s="107">
        <f>SUMIF([1]CRJ!$H$880:$H$894,B370:B775,[1]CRJ!$J$880:$J$894)</f>
        <v>0</v>
      </c>
      <c r="O370" s="100">
        <f>SUMIF([1]CRJ!$H$880:$H$894,B370:B775,[1]CRJ!$K$880:$K$894)</f>
        <v>0</v>
      </c>
      <c r="P370" s="100">
        <f>SUMIF([1]ChkDJ!$H$849:$H$867,B370:B775,[1]ChkDJ!$J$849:$J$867)</f>
        <v>0</v>
      </c>
      <c r="Q370" s="100">
        <f>SUMIF([1]ChkDJ!$H$849:$H$867,B370:B775,[1]ChkDJ!$K$849:$K$867)</f>
        <v>0</v>
      </c>
      <c r="R370" s="100">
        <f>SUMIF([1]CDJ!$H$190:$H$197,B370:B775,[1]CDJ!$J$190:$J$197)</f>
        <v>0</v>
      </c>
      <c r="S370" s="100">
        <f>SUMIF([1]CDJ!$H$190:$H$197,B370:B775,[1]CDJ!$K$190:$K$197)</f>
        <v>0</v>
      </c>
      <c r="T370" s="102">
        <f>SUMIF([1]GL!$H$448:$H$480,B370:B780,[1]GL!$J$448:$J$487)</f>
        <v>0</v>
      </c>
      <c r="U370" s="100">
        <f>SUMIF([1]GL!$H$448:$H$480,B370:B780,[1]GL!$K$448:$K$487)</f>
        <v>0</v>
      </c>
      <c r="V370" s="102"/>
      <c r="W370" s="100"/>
      <c r="X370" s="101"/>
      <c r="Y370" s="353"/>
    </row>
    <row r="371" spans="1:25" s="350" customFormat="1" ht="15.75" hidden="1" customHeight="1">
      <c r="A371" s="427" t="s">
        <v>771</v>
      </c>
      <c r="B371" s="423">
        <v>877</v>
      </c>
      <c r="C371" s="94">
        <f t="shared" si="17"/>
        <v>0</v>
      </c>
      <c r="D371" s="94"/>
      <c r="E371" s="420"/>
      <c r="F371" s="650">
        <v>0</v>
      </c>
      <c r="G371" s="651"/>
      <c r="H371" s="593">
        <v>0</v>
      </c>
      <c r="I371" s="98">
        <f t="shared" si="21"/>
        <v>0</v>
      </c>
      <c r="J371" s="98">
        <f t="shared" si="21"/>
        <v>0</v>
      </c>
      <c r="K371" s="96">
        <f t="shared" si="22"/>
        <v>0</v>
      </c>
      <c r="L371" s="96"/>
      <c r="M371" s="96">
        <f t="shared" si="23"/>
        <v>0</v>
      </c>
      <c r="N371" s="107">
        <f>SUMIF([1]CRJ!$H$880:$H$894,B371:B776,[1]CRJ!$J$880:$J$894)</f>
        <v>0</v>
      </c>
      <c r="O371" s="100">
        <f>SUMIF([1]CRJ!$H$880:$H$894,B371:B776,[1]CRJ!$K$880:$K$894)</f>
        <v>0</v>
      </c>
      <c r="P371" s="100">
        <f>SUMIF([1]ChkDJ!$H$849:$H$867,B371:B776,[1]ChkDJ!$J$849:$J$867)</f>
        <v>0</v>
      </c>
      <c r="Q371" s="100">
        <f>SUMIF([1]ChkDJ!$H$849:$H$867,B371:B776,[1]ChkDJ!$K$849:$K$867)</f>
        <v>0</v>
      </c>
      <c r="R371" s="100">
        <f>SUMIF([1]CDJ!$H$190:$H$197,B371:B776,[1]CDJ!$J$190:$J$197)</f>
        <v>0</v>
      </c>
      <c r="S371" s="100">
        <f>SUMIF([1]CDJ!$H$190:$H$197,B371:B776,[1]CDJ!$K$190:$K$197)</f>
        <v>0</v>
      </c>
      <c r="T371" s="102">
        <f>SUMIF([1]GL!$H$448:$H$480,B371:B781,[1]GL!$J$448:$J$487)</f>
        <v>0</v>
      </c>
      <c r="U371" s="100">
        <f>SUMIF([1]GL!$H$448:$H$480,B371:B781,[1]GL!$K$448:$K$487)</f>
        <v>0</v>
      </c>
      <c r="V371" s="102"/>
      <c r="W371" s="100"/>
      <c r="X371" s="101"/>
      <c r="Y371" s="353"/>
    </row>
    <row r="372" spans="1:25" s="105" customFormat="1" ht="15.75" hidden="1">
      <c r="A372" s="93" t="s">
        <v>72</v>
      </c>
      <c r="B372" s="513">
        <v>878</v>
      </c>
      <c r="C372" s="94">
        <f t="shared" si="17"/>
        <v>0</v>
      </c>
      <c r="D372" s="94"/>
      <c r="E372" s="94"/>
      <c r="F372" s="653">
        <v>0</v>
      </c>
      <c r="G372" s="98"/>
      <c r="H372" s="96">
        <v>0</v>
      </c>
      <c r="I372" s="98">
        <f t="shared" si="21"/>
        <v>0</v>
      </c>
      <c r="J372" s="98">
        <f t="shared" si="21"/>
        <v>0</v>
      </c>
      <c r="K372" s="96">
        <f t="shared" si="22"/>
        <v>0</v>
      </c>
      <c r="L372" s="96"/>
      <c r="M372" s="96">
        <f t="shared" si="23"/>
        <v>0</v>
      </c>
      <c r="N372" s="107">
        <f>SUMIF([1]CRJ!$H$880:$H$894,B372:B777,[1]CRJ!$J$880:$J$894)</f>
        <v>0</v>
      </c>
      <c r="O372" s="100">
        <f>SUMIF([1]CRJ!$H$880:$H$894,B372:B777,[1]CRJ!$K$880:$K$894)</f>
        <v>0</v>
      </c>
      <c r="P372" s="100">
        <f>SUMIF([1]ChkDJ!$H$849:$H$867,B372:B777,[1]ChkDJ!$J$849:$J$867)</f>
        <v>0</v>
      </c>
      <c r="Q372" s="100">
        <f>SUMIF([1]ChkDJ!$H$849:$H$867,B372:B777,[1]ChkDJ!$K$849:$K$867)</f>
        <v>0</v>
      </c>
      <c r="R372" s="100">
        <f>SUMIF([1]CDJ!$H$190:$H$197,B372:B777,[1]CDJ!$J$190:$J$197)</f>
        <v>0</v>
      </c>
      <c r="S372" s="100">
        <f>SUMIF([1]CDJ!$H$190:$H$197,B372:B777,[1]CDJ!$K$190:$K$197)</f>
        <v>0</v>
      </c>
      <c r="T372" s="102">
        <f>SUMIF([1]GL!$H$448:$H$480,B372:B782,[1]GL!$J$448:$J$487)</f>
        <v>0</v>
      </c>
      <c r="U372" s="100">
        <f>SUMIF([1]GL!$H$448:$H$480,B372:B782,[1]GL!$K$448:$K$487)</f>
        <v>0</v>
      </c>
      <c r="V372" s="102"/>
      <c r="W372" s="100"/>
      <c r="X372" s="101"/>
      <c r="Y372" s="353"/>
    </row>
    <row r="373" spans="1:25" s="350" customFormat="1" ht="15.75" hidden="1" customHeight="1">
      <c r="A373" s="428" t="s">
        <v>772</v>
      </c>
      <c r="B373" s="423">
        <v>881</v>
      </c>
      <c r="C373" s="94">
        <f t="shared" si="17"/>
        <v>0</v>
      </c>
      <c r="D373" s="94"/>
      <c r="E373" s="420"/>
      <c r="F373" s="650">
        <v>0</v>
      </c>
      <c r="G373" s="651"/>
      <c r="H373" s="593">
        <v>0</v>
      </c>
      <c r="I373" s="98">
        <f t="shared" si="21"/>
        <v>0</v>
      </c>
      <c r="J373" s="98">
        <f t="shared" si="21"/>
        <v>0</v>
      </c>
      <c r="K373" s="96">
        <f t="shared" si="22"/>
        <v>0</v>
      </c>
      <c r="L373" s="96"/>
      <c r="M373" s="96">
        <f t="shared" si="23"/>
        <v>0</v>
      </c>
      <c r="N373" s="107">
        <f>SUMIF([1]CRJ!$H$880:$H$894,B373:B778,[1]CRJ!$J$880:$J$894)</f>
        <v>0</v>
      </c>
      <c r="O373" s="100">
        <f>SUMIF([1]CRJ!$H$880:$H$894,B373:B778,[1]CRJ!$K$880:$K$894)</f>
        <v>0</v>
      </c>
      <c r="P373" s="100">
        <f>SUMIF([1]ChkDJ!$H$849:$H$867,B373:B778,[1]ChkDJ!$J$849:$J$867)</f>
        <v>0</v>
      </c>
      <c r="Q373" s="100">
        <f>SUMIF([1]ChkDJ!$H$849:$H$867,B373:B778,[1]ChkDJ!$K$849:$K$867)</f>
        <v>0</v>
      </c>
      <c r="R373" s="100">
        <f>SUMIF([1]CDJ!$H$190:$H$197,B373:B778,[1]CDJ!$J$190:$J$197)</f>
        <v>0</v>
      </c>
      <c r="S373" s="100">
        <f>SUMIF([1]CDJ!$H$190:$H$197,B373:B778,[1]CDJ!$K$190:$K$197)</f>
        <v>0</v>
      </c>
      <c r="T373" s="102">
        <f>SUMIF([1]GL!$H$448:$H$480,B373:B783,[1]GL!$J$448:$J$487)</f>
        <v>0</v>
      </c>
      <c r="U373" s="100">
        <f>SUMIF([1]GL!$H$448:$H$480,B373:B783,[1]GL!$K$448:$K$487)</f>
        <v>0</v>
      </c>
      <c r="V373" s="102"/>
      <c r="W373" s="100"/>
      <c r="X373" s="101"/>
      <c r="Y373" s="353"/>
    </row>
    <row r="374" spans="1:25" s="350" customFormat="1" ht="15.75" hidden="1" customHeight="1">
      <c r="A374" s="428" t="s">
        <v>773</v>
      </c>
      <c r="B374" s="423">
        <v>882</v>
      </c>
      <c r="C374" s="94">
        <f t="shared" si="17"/>
        <v>0</v>
      </c>
      <c r="D374" s="94"/>
      <c r="E374" s="420"/>
      <c r="F374" s="650">
        <v>0</v>
      </c>
      <c r="G374" s="651"/>
      <c r="H374" s="593">
        <v>0</v>
      </c>
      <c r="I374" s="98">
        <f t="shared" si="21"/>
        <v>0</v>
      </c>
      <c r="J374" s="98">
        <f t="shared" si="21"/>
        <v>0</v>
      </c>
      <c r="K374" s="96">
        <f t="shared" si="22"/>
        <v>0</v>
      </c>
      <c r="L374" s="96"/>
      <c r="M374" s="96">
        <f t="shared" si="23"/>
        <v>0</v>
      </c>
      <c r="N374" s="107">
        <f>SUMIF([1]CRJ!$H$880:$H$894,B374:B779,[1]CRJ!$J$880:$J$894)</f>
        <v>0</v>
      </c>
      <c r="O374" s="100">
        <f>SUMIF([1]CRJ!$H$880:$H$894,B374:B779,[1]CRJ!$K$880:$K$894)</f>
        <v>0</v>
      </c>
      <c r="P374" s="100">
        <f>SUMIF([1]ChkDJ!$H$849:$H$867,B374:B779,[1]ChkDJ!$J$849:$J$867)</f>
        <v>0</v>
      </c>
      <c r="Q374" s="100">
        <f>SUMIF([1]ChkDJ!$H$849:$H$867,B374:B779,[1]ChkDJ!$K$849:$K$867)</f>
        <v>0</v>
      </c>
      <c r="R374" s="100">
        <f>SUMIF([1]CDJ!$H$190:$H$197,B374:B779,[1]CDJ!$J$190:$J$197)</f>
        <v>0</v>
      </c>
      <c r="S374" s="100">
        <f>SUMIF([1]CDJ!$H$190:$H$197,B374:B779,[1]CDJ!$K$190:$K$197)</f>
        <v>0</v>
      </c>
      <c r="T374" s="102">
        <f>SUMIF([1]GL!$H$448:$H$480,B374:B784,[1]GL!$J$448:$J$487)</f>
        <v>0</v>
      </c>
      <c r="U374" s="100">
        <f>SUMIF([1]GL!$H$448:$H$480,B374:B784,[1]GL!$K$448:$K$487)</f>
        <v>0</v>
      </c>
      <c r="V374" s="102"/>
      <c r="W374" s="100"/>
      <c r="X374" s="101"/>
      <c r="Y374" s="353"/>
    </row>
    <row r="375" spans="1:25" s="350" customFormat="1" ht="15.75" hidden="1" customHeight="1">
      <c r="A375" s="428" t="s">
        <v>774</v>
      </c>
      <c r="B375" s="423">
        <v>883</v>
      </c>
      <c r="C375" s="94">
        <f t="shared" si="17"/>
        <v>0</v>
      </c>
      <c r="D375" s="94"/>
      <c r="E375" s="420"/>
      <c r="F375" s="650">
        <v>0</v>
      </c>
      <c r="G375" s="651"/>
      <c r="H375" s="593">
        <v>0</v>
      </c>
      <c r="I375" s="98">
        <f t="shared" si="21"/>
        <v>0</v>
      </c>
      <c r="J375" s="98">
        <f t="shared" si="21"/>
        <v>0</v>
      </c>
      <c r="K375" s="96">
        <f t="shared" si="22"/>
        <v>0</v>
      </c>
      <c r="L375" s="96"/>
      <c r="M375" s="96">
        <f t="shared" si="23"/>
        <v>0</v>
      </c>
      <c r="N375" s="107">
        <f>SUMIF([1]CRJ!$H$880:$H$894,B375:B780,[1]CRJ!$J$880:$J$894)</f>
        <v>0</v>
      </c>
      <c r="O375" s="100">
        <f>SUMIF([1]CRJ!$H$880:$H$894,B375:B780,[1]CRJ!$K$880:$K$894)</f>
        <v>0</v>
      </c>
      <c r="P375" s="100">
        <f>SUMIF([1]ChkDJ!$H$849:$H$867,B375:B780,[1]ChkDJ!$J$849:$J$867)</f>
        <v>0</v>
      </c>
      <c r="Q375" s="100">
        <f>SUMIF([1]ChkDJ!$H$849:$H$867,B375:B780,[1]ChkDJ!$K$849:$K$867)</f>
        <v>0</v>
      </c>
      <c r="R375" s="100">
        <f>SUMIF([1]CDJ!$H$190:$H$197,B375:B780,[1]CDJ!$J$190:$J$197)</f>
        <v>0</v>
      </c>
      <c r="S375" s="100">
        <f>SUMIF([1]CDJ!$H$190:$H$197,B375:B780,[1]CDJ!$K$190:$K$197)</f>
        <v>0</v>
      </c>
      <c r="T375" s="102">
        <f>SUMIF([1]GL!$H$448:$H$480,B375:B785,[1]GL!$J$448:$J$487)</f>
        <v>0</v>
      </c>
      <c r="U375" s="100">
        <f>SUMIF([1]GL!$H$448:$H$480,B375:B785,[1]GL!$K$448:$K$487)</f>
        <v>0</v>
      </c>
      <c r="V375" s="102"/>
      <c r="W375" s="100"/>
      <c r="X375" s="101"/>
      <c r="Y375" s="353"/>
    </row>
    <row r="376" spans="1:25" s="350" customFormat="1" ht="15.75" hidden="1" customHeight="1">
      <c r="A376" s="428" t="s">
        <v>775</v>
      </c>
      <c r="B376" s="423">
        <v>884</v>
      </c>
      <c r="C376" s="94">
        <f t="shared" si="17"/>
        <v>0</v>
      </c>
      <c r="D376" s="94"/>
      <c r="E376" s="420"/>
      <c r="F376" s="650">
        <v>0</v>
      </c>
      <c r="G376" s="651"/>
      <c r="H376" s="593">
        <v>0</v>
      </c>
      <c r="I376" s="98">
        <f t="shared" si="21"/>
        <v>0</v>
      </c>
      <c r="J376" s="98">
        <f t="shared" si="21"/>
        <v>0</v>
      </c>
      <c r="K376" s="96">
        <f t="shared" si="22"/>
        <v>0</v>
      </c>
      <c r="L376" s="96"/>
      <c r="M376" s="96">
        <f t="shared" si="23"/>
        <v>0</v>
      </c>
      <c r="N376" s="107">
        <f>SUMIF([1]CRJ!$H$880:$H$894,B376:B781,[1]CRJ!$J$880:$J$894)</f>
        <v>0</v>
      </c>
      <c r="O376" s="100">
        <f>SUMIF([1]CRJ!$H$880:$H$894,B376:B781,[1]CRJ!$K$880:$K$894)</f>
        <v>0</v>
      </c>
      <c r="P376" s="100">
        <f>SUMIF([1]ChkDJ!$H$849:$H$867,B376:B781,[1]ChkDJ!$J$849:$J$867)</f>
        <v>0</v>
      </c>
      <c r="Q376" s="100">
        <f>SUMIF([1]ChkDJ!$H$849:$H$867,B376:B781,[1]ChkDJ!$K$849:$K$867)</f>
        <v>0</v>
      </c>
      <c r="R376" s="100">
        <f>SUMIF([1]CDJ!$H$190:$H$197,B376:B781,[1]CDJ!$J$190:$J$197)</f>
        <v>0</v>
      </c>
      <c r="S376" s="100">
        <f>SUMIF([1]CDJ!$H$190:$H$197,B376:B781,[1]CDJ!$K$190:$K$197)</f>
        <v>0</v>
      </c>
      <c r="T376" s="102">
        <f>SUMIF([1]GL!$H$448:$H$480,B376:B786,[1]GL!$J$448:$J$487)</f>
        <v>0</v>
      </c>
      <c r="U376" s="100">
        <f>SUMIF([1]GL!$H$448:$H$480,B376:B786,[1]GL!$K$448:$K$487)</f>
        <v>0</v>
      </c>
      <c r="V376" s="102"/>
      <c r="W376" s="100"/>
      <c r="X376" s="101"/>
      <c r="Y376" s="353"/>
    </row>
    <row r="377" spans="1:25" s="105" customFormat="1" ht="15.75" hidden="1">
      <c r="A377" s="93" t="s">
        <v>512</v>
      </c>
      <c r="B377" s="513">
        <v>891</v>
      </c>
      <c r="C377" s="94">
        <f t="shared" si="17"/>
        <v>0</v>
      </c>
      <c r="D377" s="94"/>
      <c r="E377" s="94"/>
      <c r="F377" s="653">
        <v>0</v>
      </c>
      <c r="G377" s="98"/>
      <c r="H377" s="96">
        <v>0</v>
      </c>
      <c r="I377" s="98">
        <f t="shared" si="21"/>
        <v>0</v>
      </c>
      <c r="J377" s="98">
        <f t="shared" si="21"/>
        <v>0</v>
      </c>
      <c r="K377" s="96">
        <f t="shared" si="22"/>
        <v>0</v>
      </c>
      <c r="L377" s="96"/>
      <c r="M377" s="96">
        <f t="shared" si="23"/>
        <v>0</v>
      </c>
      <c r="N377" s="107">
        <f>SUMIF([1]CRJ!$H$880:$H$894,B377:B782,[1]CRJ!$J$880:$J$894)</f>
        <v>0</v>
      </c>
      <c r="O377" s="100">
        <f>SUMIF([1]CRJ!$H$880:$H$894,B377:B782,[1]CRJ!$K$880:$K$894)</f>
        <v>0</v>
      </c>
      <c r="P377" s="100">
        <f>SUMIF([1]ChkDJ!$H$849:$H$867,B377:B782,[1]ChkDJ!$J$849:$J$867)</f>
        <v>0</v>
      </c>
      <c r="Q377" s="100">
        <f>SUMIF([1]ChkDJ!$H$849:$H$867,B377:B782,[1]ChkDJ!$K$849:$K$867)</f>
        <v>0</v>
      </c>
      <c r="R377" s="100">
        <f>SUMIF([1]CDJ!$H$190:$H$197,B377:B782,[1]CDJ!$J$190:$J$197)</f>
        <v>0</v>
      </c>
      <c r="S377" s="100">
        <f>SUMIF([1]CDJ!$H$190:$H$197,B377:B782,[1]CDJ!$K$190:$K$197)</f>
        <v>0</v>
      </c>
      <c r="T377" s="102">
        <f>SUMIF([1]GL!$H$448:$H$480,B377:B787,[1]GL!$J$448:$J$487)</f>
        <v>0</v>
      </c>
      <c r="U377" s="100">
        <f>SUMIF([1]GL!$H$448:$H$480,B377:B787,[1]GL!$K$448:$K$487)</f>
        <v>0</v>
      </c>
      <c r="V377" s="102"/>
      <c r="W377" s="100"/>
      <c r="X377" s="101"/>
      <c r="Y377" s="353"/>
    </row>
    <row r="378" spans="1:25" s="350" customFormat="1" ht="15.75" hidden="1" customHeight="1">
      <c r="A378" s="427" t="s">
        <v>776</v>
      </c>
      <c r="B378" s="423">
        <v>892</v>
      </c>
      <c r="C378" s="94">
        <f>+K378-M378</f>
        <v>0</v>
      </c>
      <c r="D378" s="94"/>
      <c r="E378" s="420"/>
      <c r="F378" s="650">
        <v>0</v>
      </c>
      <c r="G378" s="651"/>
      <c r="H378" s="593">
        <v>0</v>
      </c>
      <c r="I378" s="98">
        <f t="shared" si="21"/>
        <v>0</v>
      </c>
      <c r="J378" s="98">
        <f t="shared" si="21"/>
        <v>0</v>
      </c>
      <c r="K378" s="96">
        <f t="shared" si="22"/>
        <v>0</v>
      </c>
      <c r="L378" s="96"/>
      <c r="M378" s="96">
        <f t="shared" si="23"/>
        <v>0</v>
      </c>
      <c r="N378" s="107">
        <f>SUMIF([1]CRJ!$H$880:$H$894,B378:B783,[1]CRJ!$J$880:$J$894)</f>
        <v>0</v>
      </c>
      <c r="O378" s="100">
        <f>SUMIF([1]CRJ!$H$880:$H$894,B378:B783,[1]CRJ!$K$880:$K$894)</f>
        <v>0</v>
      </c>
      <c r="P378" s="100">
        <f>SUMIF([1]ChkDJ!$H$849:$H$867,B378:B783,[1]ChkDJ!$J$849:$J$867)</f>
        <v>0</v>
      </c>
      <c r="Q378" s="100">
        <f>SUMIF([1]ChkDJ!$H$849:$H$867,B378:B783,[1]ChkDJ!$K$849:$K$867)</f>
        <v>0</v>
      </c>
      <c r="R378" s="100">
        <f>SUMIF([1]CDJ!$H$190:$H$197,B378:B783,[1]CDJ!$J$190:$J$197)</f>
        <v>0</v>
      </c>
      <c r="S378" s="100">
        <f>SUMIF([1]CDJ!$H$190:$H$197,B378:B783,[1]CDJ!$K$190:$K$197)</f>
        <v>0</v>
      </c>
      <c r="T378" s="102">
        <f>SUMIF([1]GL!$H$448:$H$480,B378:B788,[1]GL!$J$448:$J$487)</f>
        <v>0</v>
      </c>
      <c r="U378" s="100">
        <f>SUMIF([1]GL!$H$448:$H$480,B378:B788,[1]GL!$K$448:$K$487)</f>
        <v>0</v>
      </c>
      <c r="V378" s="102"/>
      <c r="W378" s="100"/>
      <c r="X378" s="101"/>
      <c r="Y378" s="353"/>
    </row>
    <row r="379" spans="1:25" s="105" customFormat="1" ht="15.75" hidden="1" customHeight="1">
      <c r="A379" s="93" t="s">
        <v>105</v>
      </c>
      <c r="B379" s="513">
        <v>893</v>
      </c>
      <c r="C379" s="94">
        <f t="shared" si="17"/>
        <v>0</v>
      </c>
      <c r="D379" s="94"/>
      <c r="E379" s="94"/>
      <c r="F379" s="653">
        <v>0</v>
      </c>
      <c r="G379" s="98"/>
      <c r="H379" s="96">
        <v>0</v>
      </c>
      <c r="I379" s="98">
        <f t="shared" si="21"/>
        <v>0</v>
      </c>
      <c r="J379" s="98">
        <f t="shared" si="21"/>
        <v>0</v>
      </c>
      <c r="K379" s="96">
        <f t="shared" si="22"/>
        <v>0</v>
      </c>
      <c r="L379" s="96"/>
      <c r="M379" s="96">
        <f t="shared" si="23"/>
        <v>0</v>
      </c>
      <c r="N379" s="107">
        <f>SUMIF([1]CRJ!$H$880:$H$894,B379:B784,[1]CRJ!$J$880:$J$894)</f>
        <v>0</v>
      </c>
      <c r="O379" s="100">
        <f>SUMIF([1]CRJ!$H$880:$H$894,B379:B784,[1]CRJ!$K$880:$K$894)</f>
        <v>0</v>
      </c>
      <c r="P379" s="100">
        <f>SUMIF([1]ChkDJ!$H$849:$H$867,B379:B784,[1]ChkDJ!$J$849:$J$867)</f>
        <v>0</v>
      </c>
      <c r="Q379" s="100">
        <f>SUMIF([1]ChkDJ!$H$849:$H$867,B379:B784,[1]ChkDJ!$K$849:$K$867)</f>
        <v>0</v>
      </c>
      <c r="R379" s="100">
        <f>SUMIF([1]CDJ!$H$190:$H$197,B379:B784,[1]CDJ!$J$190:$J$197)</f>
        <v>0</v>
      </c>
      <c r="S379" s="100">
        <f>SUMIF([1]CDJ!$H$190:$H$197,B379:B784,[1]CDJ!$K$190:$K$197)</f>
        <v>0</v>
      </c>
      <c r="T379" s="102">
        <f>SUMIF([1]GL!$H$448:$H$480,B379:B789,[1]GL!$J$448:$J$487)</f>
        <v>0</v>
      </c>
      <c r="U379" s="100">
        <f>SUMIF([1]GL!$H$448:$H$480,B379:B789,[1]GL!$K$448:$K$487)</f>
        <v>0</v>
      </c>
      <c r="V379" s="102"/>
      <c r="W379" s="100"/>
      <c r="X379" s="101"/>
      <c r="Y379" s="353"/>
    </row>
    <row r="380" spans="1:25" s="350" customFormat="1" ht="15.75" hidden="1" customHeight="1">
      <c r="A380" s="427" t="s">
        <v>777</v>
      </c>
      <c r="B380" s="423">
        <v>902</v>
      </c>
      <c r="C380" s="94">
        <f t="shared" si="17"/>
        <v>0</v>
      </c>
      <c r="D380" s="94"/>
      <c r="E380" s="420"/>
      <c r="F380" s="650">
        <v>0</v>
      </c>
      <c r="G380" s="651"/>
      <c r="H380" s="593">
        <v>0</v>
      </c>
      <c r="I380" s="98">
        <f t="shared" si="21"/>
        <v>0</v>
      </c>
      <c r="J380" s="98">
        <f t="shared" si="21"/>
        <v>0</v>
      </c>
      <c r="K380" s="96">
        <f t="shared" si="22"/>
        <v>0</v>
      </c>
      <c r="L380" s="96"/>
      <c r="M380" s="96">
        <f t="shared" si="23"/>
        <v>0</v>
      </c>
      <c r="N380" s="107">
        <f>SUMIF([1]CRJ!$H$880:$H$894,B380:B785,[1]CRJ!$J$880:$J$894)</f>
        <v>0</v>
      </c>
      <c r="O380" s="100">
        <f>SUMIF([1]CRJ!$H$880:$H$894,B380:B785,[1]CRJ!$K$880:$K$894)</f>
        <v>0</v>
      </c>
      <c r="P380" s="100">
        <f>SUMIF([1]ChkDJ!$H$849:$H$867,B380:B785,[1]ChkDJ!$J$849:$J$867)</f>
        <v>0</v>
      </c>
      <c r="Q380" s="100">
        <f>SUMIF([1]ChkDJ!$H$849:$H$867,B380:B785,[1]ChkDJ!$K$849:$K$867)</f>
        <v>0</v>
      </c>
      <c r="R380" s="100">
        <f>SUMIF([1]CDJ!$H$190:$H$197,B380:B785,[1]CDJ!$J$190:$J$197)</f>
        <v>0</v>
      </c>
      <c r="S380" s="100">
        <f>SUMIF([1]CDJ!$H$190:$H$197,B380:B785,[1]CDJ!$K$190:$K$197)</f>
        <v>0</v>
      </c>
      <c r="T380" s="102">
        <f>SUMIF([1]GL!$H$448:$H$480,B380:B790,[1]GL!$J$448:$J$487)</f>
        <v>0</v>
      </c>
      <c r="U380" s="100">
        <f>SUMIF([1]GL!$H$448:$H$480,B380:B790,[1]GL!$K$448:$K$487)</f>
        <v>0</v>
      </c>
      <c r="V380" s="102"/>
      <c r="W380" s="100"/>
      <c r="X380" s="101"/>
      <c r="Y380" s="353"/>
    </row>
    <row r="381" spans="1:25" s="350" customFormat="1" ht="15.75" hidden="1" customHeight="1">
      <c r="A381" s="427" t="s">
        <v>778</v>
      </c>
      <c r="B381" s="423">
        <v>905</v>
      </c>
      <c r="C381" s="94">
        <f t="shared" si="17"/>
        <v>0</v>
      </c>
      <c r="D381" s="94"/>
      <c r="E381" s="420"/>
      <c r="F381" s="650">
        <v>0</v>
      </c>
      <c r="G381" s="651"/>
      <c r="H381" s="593">
        <v>0</v>
      </c>
      <c r="I381" s="98">
        <f t="shared" si="21"/>
        <v>0</v>
      </c>
      <c r="J381" s="98">
        <f t="shared" si="21"/>
        <v>0</v>
      </c>
      <c r="K381" s="96">
        <f t="shared" si="22"/>
        <v>0</v>
      </c>
      <c r="L381" s="96"/>
      <c r="M381" s="96">
        <f t="shared" si="23"/>
        <v>0</v>
      </c>
      <c r="N381" s="107">
        <f>SUMIF([1]CRJ!$H$880:$H$894,B381:B786,[1]CRJ!$J$880:$J$894)</f>
        <v>0</v>
      </c>
      <c r="O381" s="100">
        <f>SUMIF([1]CRJ!$H$880:$H$894,B381:B786,[1]CRJ!$K$880:$K$894)</f>
        <v>0</v>
      </c>
      <c r="P381" s="100">
        <f>SUMIF([1]ChkDJ!$H$849:$H$867,B381:B786,[1]ChkDJ!$J$849:$J$867)</f>
        <v>0</v>
      </c>
      <c r="Q381" s="100">
        <f>SUMIF([1]ChkDJ!$H$849:$H$867,B381:B786,[1]ChkDJ!$K$849:$K$867)</f>
        <v>0</v>
      </c>
      <c r="R381" s="100">
        <f>SUMIF([1]CDJ!$H$190:$H$197,B381:B786,[1]CDJ!$J$190:$J$197)</f>
        <v>0</v>
      </c>
      <c r="S381" s="100">
        <f>SUMIF([1]CDJ!$H$190:$H$197,B381:B786,[1]CDJ!$K$190:$K$197)</f>
        <v>0</v>
      </c>
      <c r="T381" s="102">
        <f>SUMIF([1]GL!$H$448:$H$480,B381:B791,[1]GL!$J$448:$J$487)</f>
        <v>0</v>
      </c>
      <c r="U381" s="100">
        <f>SUMIF([1]GL!$H$448:$H$480,B381:B791,[1]GL!$K$448:$K$487)</f>
        <v>0</v>
      </c>
      <c r="V381" s="102"/>
      <c r="W381" s="100"/>
      <c r="X381" s="101"/>
      <c r="Y381" s="353"/>
    </row>
    <row r="382" spans="1:25" s="350" customFormat="1" ht="15.75" hidden="1" customHeight="1">
      <c r="A382" s="427" t="s">
        <v>779</v>
      </c>
      <c r="B382" s="423">
        <v>911</v>
      </c>
      <c r="C382" s="94">
        <f t="shared" si="17"/>
        <v>0</v>
      </c>
      <c r="D382" s="94"/>
      <c r="E382" s="420"/>
      <c r="F382" s="650">
        <v>0</v>
      </c>
      <c r="G382" s="651"/>
      <c r="H382" s="593">
        <v>0</v>
      </c>
      <c r="I382" s="98">
        <f t="shared" si="21"/>
        <v>0</v>
      </c>
      <c r="J382" s="98">
        <f t="shared" si="21"/>
        <v>0</v>
      </c>
      <c r="K382" s="96">
        <f t="shared" si="22"/>
        <v>0</v>
      </c>
      <c r="L382" s="96"/>
      <c r="M382" s="96">
        <f t="shared" si="23"/>
        <v>0</v>
      </c>
      <c r="N382" s="107">
        <f>SUMIF([1]CRJ!$H$880:$H$894,B382:B787,[1]CRJ!$J$880:$J$894)</f>
        <v>0</v>
      </c>
      <c r="O382" s="100">
        <f>SUMIF([1]CRJ!$H$880:$H$894,B382:B787,[1]CRJ!$K$880:$K$894)</f>
        <v>0</v>
      </c>
      <c r="P382" s="100">
        <f>SUMIF([1]ChkDJ!$H$849:$H$867,B382:B787,[1]ChkDJ!$J$849:$J$867)</f>
        <v>0</v>
      </c>
      <c r="Q382" s="100">
        <f>SUMIF([1]ChkDJ!$H$849:$H$867,B382:B787,[1]ChkDJ!$K$849:$K$867)</f>
        <v>0</v>
      </c>
      <c r="R382" s="100">
        <f>SUMIF([1]CDJ!$H$190:$H$197,B382:B787,[1]CDJ!$J$190:$J$197)</f>
        <v>0</v>
      </c>
      <c r="S382" s="100">
        <f>SUMIF([1]CDJ!$H$190:$H$197,B382:B787,[1]CDJ!$K$190:$K$197)</f>
        <v>0</v>
      </c>
      <c r="T382" s="102">
        <f>SUMIF([1]GL!$H$448:$H$480,B382:B792,[1]GL!$J$448:$J$487)</f>
        <v>0</v>
      </c>
      <c r="U382" s="100">
        <f>SUMIF([1]GL!$H$448:$H$480,B382:B792,[1]GL!$K$448:$K$487)</f>
        <v>0</v>
      </c>
      <c r="V382" s="102"/>
      <c r="W382" s="100"/>
      <c r="X382" s="101"/>
      <c r="Y382" s="353"/>
    </row>
    <row r="383" spans="1:25" s="105" customFormat="1" ht="15.75">
      <c r="A383" s="93" t="s">
        <v>365</v>
      </c>
      <c r="B383" s="513">
        <v>912</v>
      </c>
      <c r="C383" s="94">
        <f>+K383-M383</f>
        <v>677572.4800000001</v>
      </c>
      <c r="D383" s="94"/>
      <c r="E383" s="94"/>
      <c r="F383" s="653">
        <v>598824.46000000008</v>
      </c>
      <c r="G383" s="98"/>
      <c r="H383" s="96">
        <v>0</v>
      </c>
      <c r="I383" s="98">
        <f t="shared" si="21"/>
        <v>78748.02</v>
      </c>
      <c r="J383" s="98">
        <f t="shared" si="21"/>
        <v>0</v>
      </c>
      <c r="K383" s="96">
        <f t="shared" si="22"/>
        <v>677572.4800000001</v>
      </c>
      <c r="L383" s="96"/>
      <c r="M383" s="96">
        <f t="shared" si="23"/>
        <v>0</v>
      </c>
      <c r="N383" s="107">
        <f>SUMIF([1]CRJ!$H$880:$H$894,B383:B788,[1]CRJ!$J$880:$J$894)</f>
        <v>0</v>
      </c>
      <c r="O383" s="100">
        <f>SUMIF([1]CRJ!$H$880:$H$894,B383:B788,[1]CRJ!$K$880:$K$894)</f>
        <v>0</v>
      </c>
      <c r="P383" s="100">
        <f>SUMIF([1]ChkDJ!$H$849:$H$867,B383:B788,[1]ChkDJ!$J$849:$J$867)</f>
        <v>0</v>
      </c>
      <c r="Q383" s="100">
        <f>SUMIF([1]ChkDJ!$H$849:$H$867,B383:B788,[1]ChkDJ!$K$849:$K$867)</f>
        <v>0</v>
      </c>
      <c r="R383" s="100">
        <f>SUMIF([1]CDJ!$H$190:$H$197,B383:B788,[1]CDJ!$J$190:$J$197)</f>
        <v>0</v>
      </c>
      <c r="S383" s="100">
        <f>SUMIF([1]CDJ!$H$190:$H$197,B383:B788,[1]CDJ!$K$190:$K$197)</f>
        <v>0</v>
      </c>
      <c r="T383" s="102">
        <f>SUMIF([1]GL!$H$448:$H$480,B383:B793,[1]GL!$J$448:$J$487)</f>
        <v>78748.02</v>
      </c>
      <c r="U383" s="100">
        <f>SUMIF([1]GL!$H$448:$H$480,B383:B793,[1]GL!$K$448:$K$487)</f>
        <v>0</v>
      </c>
      <c r="V383" s="102"/>
      <c r="W383" s="100"/>
      <c r="X383" s="101"/>
      <c r="Y383" s="353"/>
    </row>
    <row r="384" spans="1:25" s="350" customFormat="1" ht="15.75" hidden="1" customHeight="1">
      <c r="A384" s="427" t="s">
        <v>780</v>
      </c>
      <c r="B384" s="423">
        <v>913</v>
      </c>
      <c r="C384" s="94">
        <f t="shared" si="17"/>
        <v>0</v>
      </c>
      <c r="D384" s="94"/>
      <c r="E384" s="420"/>
      <c r="F384" s="650">
        <v>0</v>
      </c>
      <c r="G384" s="651"/>
      <c r="H384" s="593">
        <v>0</v>
      </c>
      <c r="I384" s="98">
        <f t="shared" si="21"/>
        <v>0</v>
      </c>
      <c r="J384" s="98">
        <f t="shared" si="21"/>
        <v>0</v>
      </c>
      <c r="K384" s="96">
        <f t="shared" si="22"/>
        <v>0</v>
      </c>
      <c r="L384" s="96"/>
      <c r="M384" s="96">
        <f t="shared" si="23"/>
        <v>0</v>
      </c>
      <c r="N384" s="107">
        <f>SUMIF([1]CRJ!$H$880:$H$894,B384:B789,[1]CRJ!$J$880:$J$894)</f>
        <v>0</v>
      </c>
      <c r="O384" s="100">
        <f>SUMIF([1]CRJ!$H$880:$H$894,B384:B789,[1]CRJ!$K$880:$K$894)</f>
        <v>0</v>
      </c>
      <c r="P384" s="100">
        <f>SUMIF([1]ChkDJ!$H$849:$H$867,B384:B789,[1]ChkDJ!$J$849:$J$867)</f>
        <v>0</v>
      </c>
      <c r="Q384" s="100">
        <f>SUMIF([1]ChkDJ!$H$849:$H$867,B384:B789,[1]ChkDJ!$K$849:$K$867)</f>
        <v>0</v>
      </c>
      <c r="R384" s="100">
        <f>SUMIF([1]CDJ!$H$190:$H$197,B384:B789,[1]CDJ!$J$190:$J$197)</f>
        <v>0</v>
      </c>
      <c r="S384" s="100">
        <f>SUMIF([1]CDJ!$H$190:$H$197,B384:B789,[1]CDJ!$K$190:$K$197)</f>
        <v>0</v>
      </c>
      <c r="T384" s="102">
        <f>SUMIF([1]GL!$H$448:$H$480,B384:B794,[1]GL!$J$448:$J$487)</f>
        <v>0</v>
      </c>
      <c r="U384" s="100">
        <f>SUMIF([1]GL!$H$448:$H$480,B384:B794,[1]GL!$K$448:$K$487)</f>
        <v>0</v>
      </c>
      <c r="V384" s="102"/>
      <c r="W384" s="100"/>
      <c r="X384" s="101"/>
      <c r="Y384" s="353"/>
    </row>
    <row r="385" spans="1:25" s="350" customFormat="1" ht="15.75" hidden="1" customHeight="1">
      <c r="A385" s="427" t="s">
        <v>781</v>
      </c>
      <c r="B385" s="423">
        <v>914</v>
      </c>
      <c r="C385" s="94">
        <f t="shared" si="17"/>
        <v>0</v>
      </c>
      <c r="D385" s="94"/>
      <c r="E385" s="420"/>
      <c r="F385" s="650">
        <v>0</v>
      </c>
      <c r="G385" s="651"/>
      <c r="H385" s="593">
        <v>0</v>
      </c>
      <c r="I385" s="98">
        <f t="shared" si="21"/>
        <v>0</v>
      </c>
      <c r="J385" s="98">
        <f t="shared" si="21"/>
        <v>0</v>
      </c>
      <c r="K385" s="96">
        <f t="shared" si="22"/>
        <v>0</v>
      </c>
      <c r="L385" s="96"/>
      <c r="M385" s="96">
        <f t="shared" si="23"/>
        <v>0</v>
      </c>
      <c r="N385" s="107">
        <f>SUMIF([1]CRJ!$H$880:$H$894,B385:B790,[1]CRJ!$J$880:$J$894)</f>
        <v>0</v>
      </c>
      <c r="O385" s="100">
        <f>SUMIF([1]CRJ!$H$880:$H$894,B385:B790,[1]CRJ!$K$880:$K$894)</f>
        <v>0</v>
      </c>
      <c r="P385" s="100">
        <f>SUMIF([1]ChkDJ!$H$849:$H$867,B385:B790,[1]ChkDJ!$J$849:$J$867)</f>
        <v>0</v>
      </c>
      <c r="Q385" s="100">
        <f>SUMIF([1]ChkDJ!$H$849:$H$867,B385:B790,[1]ChkDJ!$K$849:$K$867)</f>
        <v>0</v>
      </c>
      <c r="R385" s="100">
        <f>SUMIF([1]CDJ!$H$190:$H$197,B385:B790,[1]CDJ!$J$190:$J$197)</f>
        <v>0</v>
      </c>
      <c r="S385" s="100">
        <f>SUMIF([1]CDJ!$H$190:$H$197,B385:B790,[1]CDJ!$K$190:$K$197)</f>
        <v>0</v>
      </c>
      <c r="T385" s="102">
        <f>SUMIF([1]GL!$H$448:$H$480,B385:B795,[1]GL!$J$448:$J$487)</f>
        <v>0</v>
      </c>
      <c r="U385" s="100">
        <f>SUMIF([1]GL!$H$448:$H$480,B385:B795,[1]GL!$K$448:$K$487)</f>
        <v>0</v>
      </c>
      <c r="V385" s="102"/>
      <c r="W385" s="100"/>
      <c r="X385" s="101"/>
      <c r="Y385" s="353"/>
    </row>
    <row r="386" spans="1:25" s="350" customFormat="1" ht="15.75" hidden="1" customHeight="1">
      <c r="A386" s="427" t="s">
        <v>782</v>
      </c>
      <c r="B386" s="423">
        <v>915</v>
      </c>
      <c r="C386" s="94">
        <f t="shared" si="17"/>
        <v>0</v>
      </c>
      <c r="D386" s="94"/>
      <c r="E386" s="420"/>
      <c r="F386" s="650">
        <v>0</v>
      </c>
      <c r="G386" s="651"/>
      <c r="H386" s="593">
        <v>0</v>
      </c>
      <c r="I386" s="98">
        <f t="shared" si="21"/>
        <v>0</v>
      </c>
      <c r="J386" s="98">
        <f t="shared" si="21"/>
        <v>0</v>
      </c>
      <c r="K386" s="96">
        <f t="shared" si="22"/>
        <v>0</v>
      </c>
      <c r="L386" s="96"/>
      <c r="M386" s="96">
        <f t="shared" si="23"/>
        <v>0</v>
      </c>
      <c r="N386" s="107">
        <f>SUMIF([1]CRJ!$H$880:$H$894,B386:B791,[1]CRJ!$J$880:$J$894)</f>
        <v>0</v>
      </c>
      <c r="O386" s="100">
        <f>SUMIF([1]CRJ!$H$880:$H$894,B386:B791,[1]CRJ!$K$880:$K$894)</f>
        <v>0</v>
      </c>
      <c r="P386" s="100">
        <f>SUMIF([1]ChkDJ!$H$849:$H$867,B386:B791,[1]ChkDJ!$J$849:$J$867)</f>
        <v>0</v>
      </c>
      <c r="Q386" s="100">
        <f>SUMIF([1]ChkDJ!$H$849:$H$867,B386:B791,[1]ChkDJ!$K$849:$K$867)</f>
        <v>0</v>
      </c>
      <c r="R386" s="100">
        <f>SUMIF([1]CDJ!$H$190:$H$197,B386:B791,[1]CDJ!$J$190:$J$197)</f>
        <v>0</v>
      </c>
      <c r="S386" s="100">
        <f>SUMIF([1]CDJ!$H$190:$H$197,B386:B791,[1]CDJ!$K$190:$K$197)</f>
        <v>0</v>
      </c>
      <c r="T386" s="102">
        <f>SUMIF([1]GL!$H$448:$H$480,B386:B796,[1]GL!$J$448:$J$487)</f>
        <v>0</v>
      </c>
      <c r="U386" s="100">
        <f>SUMIF([1]GL!$H$448:$H$480,B386:B796,[1]GL!$K$448:$K$487)</f>
        <v>0</v>
      </c>
      <c r="V386" s="102"/>
      <c r="W386" s="100"/>
      <c r="X386" s="101"/>
      <c r="Y386" s="353"/>
    </row>
    <row r="387" spans="1:25" s="350" customFormat="1" ht="15.75" hidden="1" customHeight="1">
      <c r="A387" s="427" t="s">
        <v>783</v>
      </c>
      <c r="B387" s="423">
        <v>918</v>
      </c>
      <c r="C387" s="94">
        <f t="shared" si="17"/>
        <v>0</v>
      </c>
      <c r="D387" s="94"/>
      <c r="E387" s="420"/>
      <c r="F387" s="650">
        <v>0</v>
      </c>
      <c r="G387" s="651"/>
      <c r="H387" s="593">
        <v>0</v>
      </c>
      <c r="I387" s="98">
        <f t="shared" si="21"/>
        <v>0</v>
      </c>
      <c r="J387" s="98">
        <f t="shared" si="21"/>
        <v>0</v>
      </c>
      <c r="K387" s="96">
        <f t="shared" si="22"/>
        <v>0</v>
      </c>
      <c r="L387" s="96"/>
      <c r="M387" s="96">
        <f t="shared" si="23"/>
        <v>0</v>
      </c>
      <c r="N387" s="107">
        <f>SUMIF([1]CRJ!$H$880:$H$894,B387:B792,[1]CRJ!$J$880:$J$894)</f>
        <v>0</v>
      </c>
      <c r="O387" s="100">
        <f>SUMIF([1]CRJ!$H$880:$H$894,B387:B792,[1]CRJ!$K$880:$K$894)</f>
        <v>0</v>
      </c>
      <c r="P387" s="100">
        <f>SUMIF([1]ChkDJ!$H$849:$H$867,B387:B792,[1]ChkDJ!$J$849:$J$867)</f>
        <v>0</v>
      </c>
      <c r="Q387" s="100">
        <f>SUMIF([1]ChkDJ!$H$849:$H$867,B387:B792,[1]ChkDJ!$K$849:$K$867)</f>
        <v>0</v>
      </c>
      <c r="R387" s="100">
        <f>SUMIF([1]CDJ!$H$190:$H$197,B387:B792,[1]CDJ!$J$190:$J$197)</f>
        <v>0</v>
      </c>
      <c r="S387" s="100">
        <f>SUMIF([1]CDJ!$H$190:$H$197,B387:B792,[1]CDJ!$K$190:$K$197)</f>
        <v>0</v>
      </c>
      <c r="T387" s="102">
        <f>SUMIF([1]GL!$H$448:$H$480,B387:B797,[1]GL!$J$448:$J$487)</f>
        <v>0</v>
      </c>
      <c r="U387" s="100">
        <f>SUMIF([1]GL!$H$448:$H$480,B387:B797,[1]GL!$K$448:$K$487)</f>
        <v>0</v>
      </c>
      <c r="V387" s="102"/>
      <c r="W387" s="100"/>
      <c r="X387" s="101"/>
      <c r="Y387" s="353"/>
    </row>
    <row r="388" spans="1:25" s="350" customFormat="1" ht="15.75" hidden="1" customHeight="1">
      <c r="A388" s="419" t="s">
        <v>784</v>
      </c>
      <c r="B388" s="423">
        <v>919</v>
      </c>
      <c r="C388" s="94">
        <f t="shared" si="17"/>
        <v>0</v>
      </c>
      <c r="D388" s="94"/>
      <c r="E388" s="420"/>
      <c r="F388" s="650">
        <v>0</v>
      </c>
      <c r="G388" s="651"/>
      <c r="H388" s="593">
        <v>0</v>
      </c>
      <c r="I388" s="98">
        <f t="shared" si="21"/>
        <v>0</v>
      </c>
      <c r="J388" s="98">
        <f t="shared" si="21"/>
        <v>0</v>
      </c>
      <c r="K388" s="96">
        <f t="shared" si="22"/>
        <v>0</v>
      </c>
      <c r="L388" s="96"/>
      <c r="M388" s="96">
        <f t="shared" si="23"/>
        <v>0</v>
      </c>
      <c r="N388" s="107">
        <f>SUMIF([1]CRJ!$H$880:$H$894,B388:B793,[1]CRJ!$J$880:$J$894)</f>
        <v>0</v>
      </c>
      <c r="O388" s="100">
        <f>SUMIF([1]CRJ!$H$880:$H$894,B388:B793,[1]CRJ!$K$880:$K$894)</f>
        <v>0</v>
      </c>
      <c r="P388" s="100">
        <f>SUMIF([1]ChkDJ!$H$849:$H$867,B388:B793,[1]ChkDJ!$J$849:$J$867)</f>
        <v>0</v>
      </c>
      <c r="Q388" s="100">
        <f>SUMIF([1]ChkDJ!$H$849:$H$867,B388:B793,[1]ChkDJ!$K$849:$K$867)</f>
        <v>0</v>
      </c>
      <c r="R388" s="100">
        <f>SUMIF([1]CDJ!$H$190:$H$197,B388:B793,[1]CDJ!$J$190:$J$197)</f>
        <v>0</v>
      </c>
      <c r="S388" s="100">
        <f>SUMIF([1]CDJ!$H$190:$H$197,B388:B793,[1]CDJ!$K$190:$K$197)</f>
        <v>0</v>
      </c>
      <c r="T388" s="102">
        <f>SUMIF([1]GL!$H$448:$H$480,B388:B798,[1]GL!$J$448:$J$487)</f>
        <v>0</v>
      </c>
      <c r="U388" s="100">
        <f>SUMIF([1]GL!$H$448:$H$480,B388:B798,[1]GL!$K$448:$K$487)</f>
        <v>0</v>
      </c>
      <c r="V388" s="102"/>
      <c r="W388" s="100"/>
      <c r="X388" s="101"/>
      <c r="Y388" s="353"/>
    </row>
    <row r="389" spans="1:25" s="350" customFormat="1" ht="15.75" hidden="1" customHeight="1">
      <c r="A389" s="427" t="s">
        <v>785</v>
      </c>
      <c r="B389" s="423">
        <v>920</v>
      </c>
      <c r="C389" s="94">
        <f t="shared" si="17"/>
        <v>0</v>
      </c>
      <c r="D389" s="94"/>
      <c r="E389" s="420"/>
      <c r="F389" s="650">
        <v>0</v>
      </c>
      <c r="G389" s="651"/>
      <c r="H389" s="593">
        <v>0</v>
      </c>
      <c r="I389" s="98">
        <f t="shared" si="21"/>
        <v>0</v>
      </c>
      <c r="J389" s="98">
        <f t="shared" si="21"/>
        <v>0</v>
      </c>
      <c r="K389" s="96">
        <f t="shared" si="22"/>
        <v>0</v>
      </c>
      <c r="L389" s="96"/>
      <c r="M389" s="96">
        <f t="shared" si="23"/>
        <v>0</v>
      </c>
      <c r="N389" s="107">
        <f>SUMIF([1]CRJ!$H$880:$H$894,B389:B794,[1]CRJ!$J$880:$J$894)</f>
        <v>0</v>
      </c>
      <c r="O389" s="100">
        <f>SUMIF([1]CRJ!$H$880:$H$894,B389:B794,[1]CRJ!$K$880:$K$894)</f>
        <v>0</v>
      </c>
      <c r="P389" s="100">
        <f>SUMIF([1]ChkDJ!$H$849:$H$867,B389:B794,[1]ChkDJ!$J$849:$J$867)</f>
        <v>0</v>
      </c>
      <c r="Q389" s="100">
        <f>SUMIF([1]ChkDJ!$H$849:$H$867,B389:B794,[1]ChkDJ!$K$849:$K$867)</f>
        <v>0</v>
      </c>
      <c r="R389" s="100">
        <f>SUMIF([1]CDJ!$H$190:$H$197,B389:B794,[1]CDJ!$J$190:$J$197)</f>
        <v>0</v>
      </c>
      <c r="S389" s="100">
        <f>SUMIF([1]CDJ!$H$190:$H$197,B389:B794,[1]CDJ!$K$190:$K$197)</f>
        <v>0</v>
      </c>
      <c r="T389" s="102">
        <f>SUMIF([1]GL!$H$448:$H$480,B389:B799,[1]GL!$J$448:$J$487)</f>
        <v>0</v>
      </c>
      <c r="U389" s="100">
        <f>SUMIF([1]GL!$H$448:$H$480,B389:B799,[1]GL!$K$448:$K$487)</f>
        <v>0</v>
      </c>
      <c r="V389" s="102"/>
      <c r="W389" s="100"/>
      <c r="X389" s="101"/>
      <c r="Y389" s="353"/>
    </row>
    <row r="390" spans="1:25" s="105" customFormat="1" ht="15.75">
      <c r="A390" s="93" t="s">
        <v>319</v>
      </c>
      <c r="B390" s="513">
        <v>921</v>
      </c>
      <c r="C390" s="94">
        <f t="shared" si="17"/>
        <v>6993</v>
      </c>
      <c r="D390" s="94"/>
      <c r="E390" s="94"/>
      <c r="F390" s="653">
        <v>6993</v>
      </c>
      <c r="G390" s="98"/>
      <c r="H390" s="96">
        <v>0</v>
      </c>
      <c r="I390" s="98">
        <f t="shared" si="21"/>
        <v>0</v>
      </c>
      <c r="J390" s="98">
        <f t="shared" si="21"/>
        <v>0</v>
      </c>
      <c r="K390" s="96">
        <f t="shared" si="22"/>
        <v>6993</v>
      </c>
      <c r="L390" s="96"/>
      <c r="M390" s="96">
        <f t="shared" si="23"/>
        <v>0</v>
      </c>
      <c r="N390" s="107">
        <f>SUMIF([1]CRJ!$H$880:$H$894,B390:B795,[1]CRJ!$J$880:$J$894)</f>
        <v>0</v>
      </c>
      <c r="O390" s="100">
        <f>SUMIF([1]CRJ!$H$880:$H$894,B390:B795,[1]CRJ!$K$880:$K$894)</f>
        <v>0</v>
      </c>
      <c r="P390" s="100">
        <f>SUMIF([1]ChkDJ!$H$849:$H$867,B390:B795,[1]ChkDJ!$J$849:$J$867)</f>
        <v>0</v>
      </c>
      <c r="Q390" s="100">
        <f>SUMIF([1]ChkDJ!$H$849:$H$867,B390:B795,[1]ChkDJ!$K$849:$K$867)</f>
        <v>0</v>
      </c>
      <c r="R390" s="100">
        <f>SUMIF([1]CDJ!$H$190:$H$197,B390:B795,[1]CDJ!$J$190:$J$197)</f>
        <v>0</v>
      </c>
      <c r="S390" s="100">
        <f>SUMIF([1]CDJ!$H$190:$H$197,B390:B795,[1]CDJ!$K$190:$K$197)</f>
        <v>0</v>
      </c>
      <c r="T390" s="102">
        <f>SUMIF([1]GL!$H$448:$H$480,B390:B800,[1]GL!$J$448:$J$487)</f>
        <v>0</v>
      </c>
      <c r="U390" s="100">
        <f>SUMIF([1]GL!$H$448:$H$480,B390:B800,[1]GL!$K$448:$K$487)</f>
        <v>0</v>
      </c>
      <c r="V390" s="102"/>
      <c r="W390" s="100"/>
      <c r="X390" s="101"/>
      <c r="Y390" s="353"/>
    </row>
    <row r="391" spans="1:25" s="350" customFormat="1" ht="15.75" hidden="1" customHeight="1">
      <c r="A391" s="523" t="s">
        <v>786</v>
      </c>
      <c r="B391" s="423">
        <v>922</v>
      </c>
      <c r="C391" s="94">
        <f t="shared" si="17"/>
        <v>0</v>
      </c>
      <c r="D391" s="94"/>
      <c r="E391" s="420"/>
      <c r="F391" s="650">
        <v>0</v>
      </c>
      <c r="G391" s="651"/>
      <c r="H391" s="593">
        <v>0</v>
      </c>
      <c r="I391" s="98">
        <f t="shared" si="21"/>
        <v>0</v>
      </c>
      <c r="J391" s="98">
        <f t="shared" si="21"/>
        <v>0</v>
      </c>
      <c r="K391" s="96">
        <f t="shared" si="22"/>
        <v>0</v>
      </c>
      <c r="L391" s="96"/>
      <c r="M391" s="96">
        <f t="shared" si="23"/>
        <v>0</v>
      </c>
      <c r="N391" s="107">
        <f>SUMIF([1]CRJ!$H$880:$H$894,B391:B796,[1]CRJ!$J$880:$J$894)</f>
        <v>0</v>
      </c>
      <c r="O391" s="100">
        <f>SUMIF([1]CRJ!$H$880:$H$894,B391:B796,[1]CRJ!$K$880:$K$894)</f>
        <v>0</v>
      </c>
      <c r="P391" s="100">
        <f>SUMIF([1]ChkDJ!$H$849:$H$867,B391:B796,[1]ChkDJ!$J$849:$J$867)</f>
        <v>0</v>
      </c>
      <c r="Q391" s="100">
        <f>SUMIF([1]ChkDJ!$H$849:$H$867,B391:B796,[1]ChkDJ!$K$849:$K$867)</f>
        <v>0</v>
      </c>
      <c r="R391" s="100">
        <f>SUMIF([1]CDJ!$H$190:$H$197,B391:B796,[1]CDJ!$J$190:$J$197)</f>
        <v>0</v>
      </c>
      <c r="S391" s="100">
        <f>SUMIF([1]CDJ!$H$190:$H$197,B391:B796,[1]CDJ!$K$190:$K$197)</f>
        <v>0</v>
      </c>
      <c r="T391" s="102">
        <f>SUMIF([1]GL!$H$448:$H$480,B391:B801,[1]GL!$J$448:$J$487)</f>
        <v>0</v>
      </c>
      <c r="U391" s="100">
        <f>SUMIF([1]GL!$H$448:$H$480,B391:B801,[1]GL!$K$448:$K$487)</f>
        <v>0</v>
      </c>
      <c r="V391" s="102"/>
      <c r="W391" s="100"/>
      <c r="X391" s="101"/>
      <c r="Y391" s="353"/>
    </row>
    <row r="392" spans="1:25" s="105" customFormat="1" ht="15.75">
      <c r="A392" s="93" t="s">
        <v>322</v>
      </c>
      <c r="B392" s="513">
        <v>923</v>
      </c>
      <c r="C392" s="94">
        <f t="shared" si="17"/>
        <v>20877.75</v>
      </c>
      <c r="D392" s="94"/>
      <c r="E392" s="94"/>
      <c r="F392" s="653">
        <v>18985.5</v>
      </c>
      <c r="G392" s="98"/>
      <c r="H392" s="96">
        <v>384.75</v>
      </c>
      <c r="I392" s="98">
        <f t="shared" si="21"/>
        <v>2277</v>
      </c>
      <c r="J392" s="98">
        <f t="shared" si="21"/>
        <v>0</v>
      </c>
      <c r="K392" s="96">
        <f t="shared" si="22"/>
        <v>21262.5</v>
      </c>
      <c r="L392" s="96"/>
      <c r="M392" s="96">
        <f t="shared" si="23"/>
        <v>384.75</v>
      </c>
      <c r="N392" s="107">
        <f>SUMIF([1]CRJ!$H$880:$H$894,B392:B797,[1]CRJ!$J$880:$J$894)</f>
        <v>0</v>
      </c>
      <c r="O392" s="100">
        <f>SUMIF([1]CRJ!$H$880:$H$894,B392:B797,[1]CRJ!$K$880:$K$894)</f>
        <v>0</v>
      </c>
      <c r="P392" s="100">
        <f>SUMIF([1]ChkDJ!$H$849:$H$867,B392:B797,[1]ChkDJ!$J$849:$J$867)</f>
        <v>0</v>
      </c>
      <c r="Q392" s="100">
        <f>SUMIF([1]ChkDJ!$H$849:$H$867,B392:B797,[1]ChkDJ!$K$849:$K$867)</f>
        <v>0</v>
      </c>
      <c r="R392" s="100">
        <f>SUMIF([1]CDJ!$H$190:$H$197,B392:B797,[1]CDJ!$J$190:$J$197)</f>
        <v>0</v>
      </c>
      <c r="S392" s="100">
        <f>SUMIF([1]CDJ!$H$190:$H$197,B392:B797,[1]CDJ!$K$190:$K$197)</f>
        <v>0</v>
      </c>
      <c r="T392" s="102">
        <f>SUMIF([1]GL!$H$448:$H$480,B392:B802,[1]GL!$J$448:$J$487)</f>
        <v>2277</v>
      </c>
      <c r="U392" s="100">
        <f>SUMIF([1]GL!$H$448:$H$480,B392:B802,[1]GL!$K$448:$K$487)</f>
        <v>0</v>
      </c>
      <c r="V392" s="102"/>
      <c r="W392" s="100"/>
      <c r="X392" s="101"/>
      <c r="Y392" s="353"/>
    </row>
    <row r="393" spans="1:25" s="350" customFormat="1" ht="15.75" hidden="1" customHeight="1">
      <c r="A393" s="523" t="s">
        <v>787</v>
      </c>
      <c r="B393" s="423">
        <v>924</v>
      </c>
      <c r="C393" s="94">
        <f t="shared" si="17"/>
        <v>0</v>
      </c>
      <c r="D393" s="94"/>
      <c r="E393" s="420"/>
      <c r="F393" s="650">
        <v>0</v>
      </c>
      <c r="G393" s="651"/>
      <c r="H393" s="593">
        <v>0</v>
      </c>
      <c r="I393" s="98">
        <f t="shared" ref="I393:J415" si="24">+N393+P393+R393+T393+V393+X393</f>
        <v>0</v>
      </c>
      <c r="J393" s="98">
        <f t="shared" si="24"/>
        <v>0</v>
      </c>
      <c r="K393" s="96">
        <f t="shared" si="22"/>
        <v>0</v>
      </c>
      <c r="L393" s="96"/>
      <c r="M393" s="96">
        <f t="shared" si="23"/>
        <v>0</v>
      </c>
      <c r="N393" s="107">
        <f>SUMIF([1]CRJ!$H$880:$H$894,B393:B798,[1]CRJ!$J$880:$J$894)</f>
        <v>0</v>
      </c>
      <c r="O393" s="100">
        <f>SUMIF([1]CRJ!$H$880:$H$894,B393:B798,[1]CRJ!$K$880:$K$894)</f>
        <v>0</v>
      </c>
      <c r="P393" s="100">
        <f>SUMIF([1]ChkDJ!$H$849:$H$867,B393:B798,[1]ChkDJ!$J$849:$J$867)</f>
        <v>0</v>
      </c>
      <c r="Q393" s="100">
        <f>SUMIF([1]ChkDJ!$H$849:$H$867,B393:B798,[1]ChkDJ!$K$849:$K$867)</f>
        <v>0</v>
      </c>
      <c r="R393" s="100">
        <f>SUMIF([1]CDJ!$H$190:$H$197,B393:B798,[1]CDJ!$J$190:$J$197)</f>
        <v>0</v>
      </c>
      <c r="S393" s="100">
        <f>SUMIF([1]CDJ!$H$190:$H$197,B393:B798,[1]CDJ!$K$190:$K$197)</f>
        <v>0</v>
      </c>
      <c r="T393" s="102">
        <f>SUMIF([1]GL!$H$448:$H$480,B393:B803,[1]GL!$J$448:$J$487)</f>
        <v>0</v>
      </c>
      <c r="U393" s="100">
        <f>SUMIF([1]GL!$H$448:$H$480,B393:B803,[1]GL!$K$448:$K$487)</f>
        <v>0</v>
      </c>
      <c r="V393" s="102"/>
      <c r="W393" s="100"/>
      <c r="X393" s="101"/>
      <c r="Y393" s="353"/>
    </row>
    <row r="394" spans="1:25" s="350" customFormat="1" ht="15.75" hidden="1" customHeight="1">
      <c r="A394" s="524" t="s">
        <v>788</v>
      </c>
      <c r="B394" s="423">
        <v>926</v>
      </c>
      <c r="C394" s="94">
        <f t="shared" si="17"/>
        <v>0</v>
      </c>
      <c r="D394" s="94"/>
      <c r="E394" s="420"/>
      <c r="F394" s="650">
        <v>0</v>
      </c>
      <c r="G394" s="651"/>
      <c r="H394" s="593">
        <v>0</v>
      </c>
      <c r="I394" s="98">
        <f t="shared" si="24"/>
        <v>0</v>
      </c>
      <c r="J394" s="98">
        <f t="shared" si="24"/>
        <v>0</v>
      </c>
      <c r="K394" s="96">
        <f t="shared" si="22"/>
        <v>0</v>
      </c>
      <c r="L394" s="96"/>
      <c r="M394" s="96">
        <f t="shared" si="23"/>
        <v>0</v>
      </c>
      <c r="N394" s="107">
        <f>SUMIF([1]CRJ!$H$880:$H$894,B394:B799,[1]CRJ!$J$880:$J$894)</f>
        <v>0</v>
      </c>
      <c r="O394" s="100">
        <f>SUMIF([1]CRJ!$H$880:$H$894,B394:B799,[1]CRJ!$K$880:$K$894)</f>
        <v>0</v>
      </c>
      <c r="P394" s="100">
        <f>SUMIF([1]ChkDJ!$H$849:$H$867,B394:B799,[1]ChkDJ!$J$849:$J$867)</f>
        <v>0</v>
      </c>
      <c r="Q394" s="100">
        <f>SUMIF([1]ChkDJ!$H$849:$H$867,B394:B799,[1]ChkDJ!$K$849:$K$867)</f>
        <v>0</v>
      </c>
      <c r="R394" s="100">
        <f>SUMIF([1]CDJ!$H$190:$H$197,B394:B799,[1]CDJ!$J$190:$J$197)</f>
        <v>0</v>
      </c>
      <c r="S394" s="100">
        <f>SUMIF([1]CDJ!$H$190:$H$197,B394:B799,[1]CDJ!$K$190:$K$197)</f>
        <v>0</v>
      </c>
      <c r="T394" s="102">
        <f>SUMIF([1]GL!$H$448:$H$480,B394:B804,[1]GL!$J$448:$J$487)</f>
        <v>0</v>
      </c>
      <c r="U394" s="100">
        <f>SUMIF([1]GL!$H$448:$H$480,B394:B804,[1]GL!$K$448:$K$487)</f>
        <v>0</v>
      </c>
      <c r="V394" s="102"/>
      <c r="W394" s="100"/>
      <c r="X394" s="101"/>
      <c r="Y394" s="353"/>
    </row>
    <row r="395" spans="1:25" s="350" customFormat="1" ht="15.75" hidden="1" customHeight="1">
      <c r="A395" s="419" t="s">
        <v>789</v>
      </c>
      <c r="B395" s="423">
        <v>927</v>
      </c>
      <c r="C395" s="94">
        <f t="shared" si="17"/>
        <v>0</v>
      </c>
      <c r="D395" s="94"/>
      <c r="E395" s="420"/>
      <c r="F395" s="650">
        <v>0</v>
      </c>
      <c r="G395" s="651"/>
      <c r="H395" s="593">
        <v>0</v>
      </c>
      <c r="I395" s="98">
        <f t="shared" si="24"/>
        <v>0</v>
      </c>
      <c r="J395" s="98">
        <f t="shared" si="24"/>
        <v>0</v>
      </c>
      <c r="K395" s="96">
        <f t="shared" si="22"/>
        <v>0</v>
      </c>
      <c r="L395" s="96"/>
      <c r="M395" s="96">
        <f t="shared" si="23"/>
        <v>0</v>
      </c>
      <c r="N395" s="107">
        <f>SUMIF([1]CRJ!$H$880:$H$894,B395:B800,[1]CRJ!$J$880:$J$894)</f>
        <v>0</v>
      </c>
      <c r="O395" s="100">
        <f>SUMIF([1]CRJ!$H$880:$H$894,B395:B800,[1]CRJ!$K$880:$K$894)</f>
        <v>0</v>
      </c>
      <c r="P395" s="100">
        <f>SUMIF([1]ChkDJ!$H$849:$H$867,B395:B800,[1]ChkDJ!$J$849:$J$867)</f>
        <v>0</v>
      </c>
      <c r="Q395" s="100">
        <f>SUMIF([1]ChkDJ!$H$849:$H$867,B395:B800,[1]ChkDJ!$K$849:$K$867)</f>
        <v>0</v>
      </c>
      <c r="R395" s="100">
        <f>SUMIF([1]CDJ!$H$190:$H$197,B395:B800,[1]CDJ!$J$190:$J$197)</f>
        <v>0</v>
      </c>
      <c r="S395" s="100">
        <f>SUMIF([1]CDJ!$H$190:$H$197,B395:B800,[1]CDJ!$K$190:$K$197)</f>
        <v>0</v>
      </c>
      <c r="T395" s="102">
        <f>SUMIF([1]GL!$H$448:$H$480,B395:B805,[1]GL!$J$448:$J$487)</f>
        <v>0</v>
      </c>
      <c r="U395" s="100">
        <f>SUMIF([1]GL!$H$448:$H$480,B395:B805,[1]GL!$K$448:$K$487)</f>
        <v>0</v>
      </c>
      <c r="V395" s="102"/>
      <c r="W395" s="100"/>
      <c r="X395" s="101"/>
      <c r="Y395" s="353"/>
    </row>
    <row r="396" spans="1:25" s="105" customFormat="1" ht="15.75">
      <c r="A396" s="93" t="s">
        <v>321</v>
      </c>
      <c r="B396" s="513">
        <v>929</v>
      </c>
      <c r="C396" s="94">
        <f t="shared" si="17"/>
        <v>1559.25</v>
      </c>
      <c r="D396" s="94"/>
      <c r="E396" s="94"/>
      <c r="F396" s="653">
        <v>1386</v>
      </c>
      <c r="G396" s="98"/>
      <c r="H396" s="96">
        <v>0</v>
      </c>
      <c r="I396" s="98">
        <f t="shared" si="24"/>
        <v>173.25</v>
      </c>
      <c r="J396" s="98">
        <f t="shared" si="24"/>
        <v>0</v>
      </c>
      <c r="K396" s="96">
        <f t="shared" ref="K396:K418" si="25">+F396+I396</f>
        <v>1559.25</v>
      </c>
      <c r="L396" s="96"/>
      <c r="M396" s="96">
        <f t="shared" si="23"/>
        <v>0</v>
      </c>
      <c r="N396" s="107">
        <f>SUMIF([1]CRJ!$H$880:$H$894,B396:B801,[1]CRJ!$J$880:$J$894)</f>
        <v>0</v>
      </c>
      <c r="O396" s="100">
        <f>SUMIF([1]CRJ!$H$880:$H$894,B396:B801,[1]CRJ!$K$880:$K$894)</f>
        <v>0</v>
      </c>
      <c r="P396" s="100">
        <f>SUMIF([1]ChkDJ!$H$849:$H$867,B396:B801,[1]ChkDJ!$J$849:$J$867)</f>
        <v>0</v>
      </c>
      <c r="Q396" s="100">
        <f>SUMIF([1]ChkDJ!$H$849:$H$867,B396:B801,[1]ChkDJ!$K$849:$K$867)</f>
        <v>0</v>
      </c>
      <c r="R396" s="100">
        <f>SUMIF([1]CDJ!$H$190:$H$197,B396:B801,[1]CDJ!$J$190:$J$197)</f>
        <v>0</v>
      </c>
      <c r="S396" s="100">
        <f>SUMIF([1]CDJ!$H$190:$H$197,B396:B801,[1]CDJ!$K$190:$K$197)</f>
        <v>0</v>
      </c>
      <c r="T396" s="102">
        <f>SUMIF([1]GL!$H$448:$H$480,B396:B806,[1]GL!$J$448:$J$487)</f>
        <v>173.25</v>
      </c>
      <c r="U396" s="100">
        <f>SUMIF([1]GL!$H$448:$H$480,B396:B806,[1]GL!$K$448:$K$487)</f>
        <v>0</v>
      </c>
      <c r="V396" s="102"/>
      <c r="W396" s="100"/>
      <c r="X396" s="101"/>
      <c r="Y396" s="353"/>
    </row>
    <row r="397" spans="1:25" s="350" customFormat="1" ht="15.75" hidden="1" customHeight="1">
      <c r="A397" s="419" t="s">
        <v>790</v>
      </c>
      <c r="B397" s="423">
        <v>930</v>
      </c>
      <c r="C397" s="94">
        <f t="shared" si="17"/>
        <v>0</v>
      </c>
      <c r="D397" s="94"/>
      <c r="E397" s="420"/>
      <c r="F397" s="650">
        <v>0</v>
      </c>
      <c r="G397" s="651"/>
      <c r="H397" s="593">
        <v>0</v>
      </c>
      <c r="I397" s="98">
        <f t="shared" si="24"/>
        <v>0</v>
      </c>
      <c r="J397" s="98">
        <f t="shared" si="24"/>
        <v>0</v>
      </c>
      <c r="K397" s="96">
        <f t="shared" si="25"/>
        <v>0</v>
      </c>
      <c r="L397" s="96"/>
      <c r="M397" s="96">
        <f t="shared" ref="M397:M418" si="26">+H397+J397</f>
        <v>0</v>
      </c>
      <c r="N397" s="107">
        <f>SUMIF([1]CRJ!$H$880:$H$894,B397:B802,[1]CRJ!$J$880:$J$894)</f>
        <v>0</v>
      </c>
      <c r="O397" s="100">
        <f>SUMIF([1]CRJ!$H$880:$H$894,B397:B802,[1]CRJ!$K$880:$K$894)</f>
        <v>0</v>
      </c>
      <c r="P397" s="100">
        <f>SUMIF([1]ChkDJ!$H$849:$H$867,B397:B802,[1]ChkDJ!$J$849:$J$867)</f>
        <v>0</v>
      </c>
      <c r="Q397" s="100">
        <f>SUMIF([1]ChkDJ!$H$849:$H$867,B397:B802,[1]ChkDJ!$K$849:$K$867)</f>
        <v>0</v>
      </c>
      <c r="R397" s="100">
        <f>SUMIF([1]CDJ!$H$190:$H$197,B397:B802,[1]CDJ!$J$190:$J$197)</f>
        <v>0</v>
      </c>
      <c r="S397" s="100">
        <f>SUMIF([1]CDJ!$H$190:$H$197,B397:B802,[1]CDJ!$K$190:$K$197)</f>
        <v>0</v>
      </c>
      <c r="T397" s="102">
        <f>SUMIF([1]GL!$H$448:$H$480,B397:B807,[1]GL!$J$448:$J$487)</f>
        <v>0</v>
      </c>
      <c r="U397" s="100">
        <f>SUMIF([1]GL!$H$448:$H$480,B397:B807,[1]GL!$K$448:$K$487)</f>
        <v>0</v>
      </c>
      <c r="V397" s="102"/>
      <c r="W397" s="100"/>
      <c r="X397" s="101"/>
      <c r="Y397" s="353"/>
    </row>
    <row r="398" spans="1:25" s="350" customFormat="1" ht="15.75" hidden="1" customHeight="1">
      <c r="A398" s="419" t="s">
        <v>791</v>
      </c>
      <c r="B398" s="423">
        <v>931</v>
      </c>
      <c r="C398" s="94">
        <f t="shared" si="17"/>
        <v>0</v>
      </c>
      <c r="D398" s="94"/>
      <c r="E398" s="420"/>
      <c r="F398" s="650">
        <v>0</v>
      </c>
      <c r="G398" s="651"/>
      <c r="H398" s="593">
        <v>0</v>
      </c>
      <c r="I398" s="98">
        <f t="shared" si="24"/>
        <v>0</v>
      </c>
      <c r="J398" s="98">
        <f t="shared" si="24"/>
        <v>0</v>
      </c>
      <c r="K398" s="96">
        <f t="shared" si="25"/>
        <v>0</v>
      </c>
      <c r="L398" s="96"/>
      <c r="M398" s="96">
        <f t="shared" si="26"/>
        <v>0</v>
      </c>
      <c r="N398" s="107">
        <f>SUMIF([1]CRJ!$H$880:$H$894,B398:B803,[1]CRJ!$J$880:$J$894)</f>
        <v>0</v>
      </c>
      <c r="O398" s="100">
        <f>SUMIF([1]CRJ!$H$880:$H$894,B398:B803,[1]CRJ!$K$880:$K$894)</f>
        <v>0</v>
      </c>
      <c r="P398" s="100">
        <f>SUMIF([1]ChkDJ!$H$849:$H$867,B398:B803,[1]ChkDJ!$J$849:$J$867)</f>
        <v>0</v>
      </c>
      <c r="Q398" s="100">
        <f>SUMIF([1]ChkDJ!$H$849:$H$867,B398:B803,[1]ChkDJ!$K$849:$K$867)</f>
        <v>0</v>
      </c>
      <c r="R398" s="100">
        <f>SUMIF([1]CDJ!$H$190:$H$197,B398:B803,[1]CDJ!$J$190:$J$197)</f>
        <v>0</v>
      </c>
      <c r="S398" s="100">
        <f>SUMIF([1]CDJ!$H$190:$H$197,B398:B803,[1]CDJ!$K$190:$K$197)</f>
        <v>0</v>
      </c>
      <c r="T398" s="102">
        <f>SUMIF([1]GL!$H$448:$H$480,B398:B808,[1]GL!$J$448:$J$487)</f>
        <v>0</v>
      </c>
      <c r="U398" s="100">
        <f>SUMIF([1]GL!$H$448:$H$480,B398:B808,[1]GL!$K$448:$K$487)</f>
        <v>0</v>
      </c>
      <c r="V398" s="102"/>
      <c r="W398" s="100"/>
      <c r="X398" s="101"/>
      <c r="Y398" s="353"/>
    </row>
    <row r="399" spans="1:25" s="350" customFormat="1" ht="15.75" hidden="1" customHeight="1">
      <c r="A399" s="524" t="s">
        <v>792</v>
      </c>
      <c r="B399" s="423">
        <v>932</v>
      </c>
      <c r="C399" s="94">
        <f t="shared" si="17"/>
        <v>0</v>
      </c>
      <c r="D399" s="94"/>
      <c r="E399" s="420"/>
      <c r="F399" s="650">
        <v>0</v>
      </c>
      <c r="G399" s="651"/>
      <c r="H399" s="593">
        <v>0</v>
      </c>
      <c r="I399" s="98">
        <f t="shared" si="24"/>
        <v>0</v>
      </c>
      <c r="J399" s="98">
        <f t="shared" si="24"/>
        <v>0</v>
      </c>
      <c r="K399" s="96">
        <f t="shared" si="25"/>
        <v>0</v>
      </c>
      <c r="L399" s="96"/>
      <c r="M399" s="96">
        <f t="shared" si="26"/>
        <v>0</v>
      </c>
      <c r="N399" s="107">
        <f>SUMIF([1]CRJ!$H$880:$H$894,B399:B804,[1]CRJ!$J$880:$J$894)</f>
        <v>0</v>
      </c>
      <c r="O399" s="100">
        <f>SUMIF([1]CRJ!$H$880:$H$894,B399:B804,[1]CRJ!$K$880:$K$894)</f>
        <v>0</v>
      </c>
      <c r="P399" s="100">
        <f>SUMIF([1]ChkDJ!$H$849:$H$867,B399:B804,[1]ChkDJ!$J$849:$J$867)</f>
        <v>0</v>
      </c>
      <c r="Q399" s="100">
        <f>SUMIF([1]ChkDJ!$H$849:$H$867,B399:B804,[1]ChkDJ!$K$849:$K$867)</f>
        <v>0</v>
      </c>
      <c r="R399" s="100">
        <f>SUMIF([1]CDJ!$H$190:$H$197,B399:B804,[1]CDJ!$J$190:$J$197)</f>
        <v>0</v>
      </c>
      <c r="S399" s="100">
        <f>SUMIF([1]CDJ!$H$190:$H$197,B399:B804,[1]CDJ!$K$190:$K$197)</f>
        <v>0</v>
      </c>
      <c r="T399" s="102">
        <f>SUMIF([1]GL!$H$448:$H$480,B399:B809,[1]GL!$J$448:$J$487)</f>
        <v>0</v>
      </c>
      <c r="U399" s="100">
        <f>SUMIF([1]GL!$H$448:$H$480,B399:B809,[1]GL!$K$448:$K$487)</f>
        <v>0</v>
      </c>
      <c r="V399" s="102"/>
      <c r="W399" s="100"/>
      <c r="X399" s="101"/>
      <c r="Y399" s="353"/>
    </row>
    <row r="400" spans="1:25" s="350" customFormat="1" ht="15.75" hidden="1" customHeight="1">
      <c r="A400" s="419" t="s">
        <v>793</v>
      </c>
      <c r="B400" s="423">
        <v>933</v>
      </c>
      <c r="C400" s="94">
        <f t="shared" si="17"/>
        <v>0</v>
      </c>
      <c r="D400" s="94"/>
      <c r="E400" s="420"/>
      <c r="F400" s="650">
        <v>0</v>
      </c>
      <c r="G400" s="651"/>
      <c r="H400" s="593">
        <v>0</v>
      </c>
      <c r="I400" s="98">
        <f t="shared" si="24"/>
        <v>0</v>
      </c>
      <c r="J400" s="98">
        <f t="shared" si="24"/>
        <v>0</v>
      </c>
      <c r="K400" s="96">
        <f t="shared" si="25"/>
        <v>0</v>
      </c>
      <c r="L400" s="96"/>
      <c r="M400" s="96">
        <f t="shared" si="26"/>
        <v>0</v>
      </c>
      <c r="N400" s="107">
        <f>SUMIF([1]CRJ!$H$880:$H$894,B400:B805,[1]CRJ!$J$880:$J$894)</f>
        <v>0</v>
      </c>
      <c r="O400" s="100">
        <f>SUMIF([1]CRJ!$H$880:$H$894,B400:B805,[1]CRJ!$K$880:$K$894)</f>
        <v>0</v>
      </c>
      <c r="P400" s="100">
        <f>SUMIF([1]ChkDJ!$H$849:$H$867,B400:B805,[1]ChkDJ!$J$849:$J$867)</f>
        <v>0</v>
      </c>
      <c r="Q400" s="100">
        <f>SUMIF([1]ChkDJ!$H$849:$H$867,B400:B805,[1]ChkDJ!$K$849:$K$867)</f>
        <v>0</v>
      </c>
      <c r="R400" s="100">
        <f>SUMIF([1]CDJ!$H$190:$H$197,B400:B805,[1]CDJ!$J$190:$J$197)</f>
        <v>0</v>
      </c>
      <c r="S400" s="100">
        <f>SUMIF([1]CDJ!$H$190:$H$197,B400:B805,[1]CDJ!$K$190:$K$197)</f>
        <v>0</v>
      </c>
      <c r="T400" s="102">
        <f>SUMIF([1]GL!$H$448:$H$480,B400:B810,[1]GL!$J$448:$J$487)</f>
        <v>0</v>
      </c>
      <c r="U400" s="100">
        <f>SUMIF([1]GL!$H$448:$H$480,B400:B810,[1]GL!$K$448:$K$487)</f>
        <v>0</v>
      </c>
      <c r="V400" s="102"/>
      <c r="W400" s="100"/>
      <c r="X400" s="101"/>
      <c r="Y400" s="353"/>
    </row>
    <row r="401" spans="1:25" s="350" customFormat="1" ht="15.75" hidden="1" customHeight="1">
      <c r="A401" s="419" t="s">
        <v>794</v>
      </c>
      <c r="B401" s="423">
        <v>934</v>
      </c>
      <c r="C401" s="94">
        <f t="shared" si="17"/>
        <v>0</v>
      </c>
      <c r="D401" s="94"/>
      <c r="E401" s="420"/>
      <c r="F401" s="650">
        <v>0</v>
      </c>
      <c r="G401" s="651"/>
      <c r="H401" s="593">
        <v>0</v>
      </c>
      <c r="I401" s="98">
        <f t="shared" si="24"/>
        <v>0</v>
      </c>
      <c r="J401" s="98">
        <f t="shared" si="24"/>
        <v>0</v>
      </c>
      <c r="K401" s="96">
        <f t="shared" si="25"/>
        <v>0</v>
      </c>
      <c r="L401" s="96"/>
      <c r="M401" s="96">
        <f t="shared" si="26"/>
        <v>0</v>
      </c>
      <c r="N401" s="107">
        <f>SUMIF([1]CRJ!$H$880:$H$894,B401:B806,[1]CRJ!$J$880:$J$894)</f>
        <v>0</v>
      </c>
      <c r="O401" s="100">
        <f>SUMIF([1]CRJ!$H$880:$H$894,B401:B806,[1]CRJ!$K$880:$K$894)</f>
        <v>0</v>
      </c>
      <c r="P401" s="100">
        <f>SUMIF([1]ChkDJ!$H$849:$H$867,B401:B806,[1]ChkDJ!$J$849:$J$867)</f>
        <v>0</v>
      </c>
      <c r="Q401" s="100">
        <f>SUMIF([1]ChkDJ!$H$849:$H$867,B401:B806,[1]ChkDJ!$K$849:$K$867)</f>
        <v>0</v>
      </c>
      <c r="R401" s="100">
        <f>SUMIF([1]CDJ!$H$190:$H$197,B401:B806,[1]CDJ!$J$190:$J$197)</f>
        <v>0</v>
      </c>
      <c r="S401" s="100">
        <f>SUMIF([1]CDJ!$H$190:$H$197,B401:B806,[1]CDJ!$K$190:$K$197)</f>
        <v>0</v>
      </c>
      <c r="T401" s="102">
        <f>SUMIF([1]GL!$H$448:$H$480,B401:B811,[1]GL!$J$448:$J$487)</f>
        <v>0</v>
      </c>
      <c r="U401" s="100">
        <f>SUMIF([1]GL!$H$448:$H$480,B401:B811,[1]GL!$K$448:$K$487)</f>
        <v>0</v>
      </c>
      <c r="V401" s="102"/>
      <c r="W401" s="100"/>
      <c r="X401" s="101"/>
      <c r="Y401" s="353"/>
    </row>
    <row r="402" spans="1:25" s="105" customFormat="1" ht="15.75">
      <c r="A402" s="93" t="s">
        <v>275</v>
      </c>
      <c r="B402" s="513">
        <v>935</v>
      </c>
      <c r="C402" s="94">
        <f t="shared" si="17"/>
        <v>31018.32</v>
      </c>
      <c r="D402" s="94"/>
      <c r="E402" s="94"/>
      <c r="F402" s="653">
        <v>27571.84</v>
      </c>
      <c r="G402" s="98"/>
      <c r="H402" s="96">
        <v>0</v>
      </c>
      <c r="I402" s="98">
        <f t="shared" si="24"/>
        <v>3446.48</v>
      </c>
      <c r="J402" s="98">
        <f t="shared" si="24"/>
        <v>0</v>
      </c>
      <c r="K402" s="96">
        <f t="shared" si="25"/>
        <v>31018.32</v>
      </c>
      <c r="L402" s="96"/>
      <c r="M402" s="96">
        <f t="shared" si="26"/>
        <v>0</v>
      </c>
      <c r="N402" s="107">
        <f>SUMIF([1]CRJ!$H$880:$H$894,B402:B807,[1]CRJ!$J$880:$J$894)</f>
        <v>0</v>
      </c>
      <c r="O402" s="100">
        <f>SUMIF([1]CRJ!$H$880:$H$894,B402:B807,[1]CRJ!$K$880:$K$894)</f>
        <v>0</v>
      </c>
      <c r="P402" s="100">
        <f>SUMIF([1]ChkDJ!$H$849:$H$867,B402:B807,[1]ChkDJ!$J$849:$J$867)</f>
        <v>0</v>
      </c>
      <c r="Q402" s="100">
        <f>SUMIF([1]ChkDJ!$H$849:$H$867,B402:B807,[1]ChkDJ!$K$849:$K$867)</f>
        <v>0</v>
      </c>
      <c r="R402" s="100">
        <f>SUMIF([1]CDJ!$H$190:$H$197,B402:B807,[1]CDJ!$J$190:$J$197)</f>
        <v>0</v>
      </c>
      <c r="S402" s="100">
        <f>SUMIF([1]CDJ!$H$190:$H$197,B402:B807,[1]CDJ!$K$190:$K$197)</f>
        <v>0</v>
      </c>
      <c r="T402" s="102">
        <f>SUMIF([1]GL!$H$448:$H$480,B402:B812,[1]GL!$J$448:$J$487)</f>
        <v>3446.48</v>
      </c>
      <c r="U402" s="100">
        <f>SUMIF([1]GL!$H$448:$H$480,B402:B812,[1]GL!$K$448:$K$487)</f>
        <v>0</v>
      </c>
      <c r="V402" s="102"/>
      <c r="W402" s="100"/>
      <c r="X402" s="101"/>
      <c r="Y402" s="353"/>
    </row>
    <row r="403" spans="1:25" s="105" customFormat="1" ht="15.75">
      <c r="A403" s="93" t="s">
        <v>107</v>
      </c>
      <c r="B403" s="513">
        <v>936</v>
      </c>
      <c r="C403" s="94">
        <f t="shared" si="17"/>
        <v>5238</v>
      </c>
      <c r="D403" s="94"/>
      <c r="E403" s="94"/>
      <c r="F403" s="653">
        <v>4656</v>
      </c>
      <c r="G403" s="98"/>
      <c r="H403" s="96">
        <v>0</v>
      </c>
      <c r="I403" s="98">
        <f t="shared" si="24"/>
        <v>582</v>
      </c>
      <c r="J403" s="98">
        <f t="shared" si="24"/>
        <v>0</v>
      </c>
      <c r="K403" s="96">
        <f t="shared" si="25"/>
        <v>5238</v>
      </c>
      <c r="L403" s="96"/>
      <c r="M403" s="96">
        <f t="shared" si="26"/>
        <v>0</v>
      </c>
      <c r="N403" s="107">
        <f>SUMIF([1]CRJ!$H$880:$H$894,B403:B808,[1]CRJ!$J$880:$J$894)</f>
        <v>0</v>
      </c>
      <c r="O403" s="100">
        <f>SUMIF([1]CRJ!$H$880:$H$894,B403:B808,[1]CRJ!$K$880:$K$894)</f>
        <v>0</v>
      </c>
      <c r="P403" s="100">
        <f>SUMIF([1]ChkDJ!$H$849:$H$867,B403:B808,[1]ChkDJ!$J$849:$J$867)</f>
        <v>0</v>
      </c>
      <c r="Q403" s="100">
        <f>SUMIF([1]ChkDJ!$H$849:$H$867,B403:B808,[1]ChkDJ!$K$849:$K$867)</f>
        <v>0</v>
      </c>
      <c r="R403" s="100">
        <f>SUMIF([1]CDJ!$H$190:$H$197,B403:B808,[1]CDJ!$J$190:$J$197)</f>
        <v>0</v>
      </c>
      <c r="S403" s="100">
        <f>SUMIF([1]CDJ!$H$190:$H$197,B403:B808,[1]CDJ!$K$190:$K$197)</f>
        <v>0</v>
      </c>
      <c r="T403" s="102">
        <f>SUMIF([1]GL!$H$448:$H$480,B403:B813,[1]GL!$J$448:$J$487)</f>
        <v>582</v>
      </c>
      <c r="U403" s="100">
        <f>SUMIF([1]GL!$H$448:$H$480,B403:B813,[1]GL!$K$448:$K$487)</f>
        <v>0</v>
      </c>
      <c r="V403" s="102"/>
      <c r="W403" s="100"/>
      <c r="X403" s="101"/>
      <c r="Y403" s="353"/>
    </row>
    <row r="404" spans="1:25" s="350" customFormat="1" ht="15.75" hidden="1" customHeight="1">
      <c r="A404" s="419" t="s">
        <v>795</v>
      </c>
      <c r="B404" s="423">
        <v>940</v>
      </c>
      <c r="C404" s="94">
        <f t="shared" si="17"/>
        <v>0</v>
      </c>
      <c r="D404" s="94"/>
      <c r="E404" s="420"/>
      <c r="F404" s="650">
        <v>0</v>
      </c>
      <c r="G404" s="651"/>
      <c r="H404" s="593">
        <v>0</v>
      </c>
      <c r="I404" s="98">
        <f t="shared" si="24"/>
        <v>0</v>
      </c>
      <c r="J404" s="98">
        <f t="shared" si="24"/>
        <v>0</v>
      </c>
      <c r="K404" s="96">
        <f t="shared" si="25"/>
        <v>0</v>
      </c>
      <c r="L404" s="96"/>
      <c r="M404" s="96">
        <f t="shared" si="26"/>
        <v>0</v>
      </c>
      <c r="N404" s="107">
        <f>SUMIF([1]CRJ!$H$880:$H$894,B404:B809,[1]CRJ!$J$880:$J$894)</f>
        <v>0</v>
      </c>
      <c r="O404" s="100">
        <f>SUMIF([1]CRJ!$H$880:$H$894,B404:B809,[1]CRJ!$K$880:$K$894)</f>
        <v>0</v>
      </c>
      <c r="P404" s="100">
        <f>SUMIF([1]ChkDJ!$H$849:$H$867,B404:B809,[1]ChkDJ!$J$849:$J$867)</f>
        <v>0</v>
      </c>
      <c r="Q404" s="100">
        <f>SUMIF([1]ChkDJ!$H$849:$H$867,B404:B809,[1]ChkDJ!$K$849:$K$867)</f>
        <v>0</v>
      </c>
      <c r="R404" s="100">
        <f>SUMIF([1]CDJ!$H$190:$H$197,B404:B809,[1]CDJ!$J$190:$J$197)</f>
        <v>0</v>
      </c>
      <c r="S404" s="100">
        <f>SUMIF([1]CDJ!$H$190:$H$197,B404:B809,[1]CDJ!$K$190:$K$197)</f>
        <v>0</v>
      </c>
      <c r="T404" s="102">
        <f>SUMIF([1]GL!$H$448:$H$480,B404:B814,[1]GL!$J$448:$J$487)</f>
        <v>0</v>
      </c>
      <c r="U404" s="100">
        <f>SUMIF([1]GL!$H$448:$H$480,B404:B814,[1]GL!$K$448:$K$487)</f>
        <v>0</v>
      </c>
      <c r="V404" s="102"/>
      <c r="W404" s="100"/>
      <c r="X404" s="101"/>
      <c r="Y404" s="353"/>
    </row>
    <row r="405" spans="1:25" s="350" customFormat="1" ht="15.75" hidden="1" customHeight="1">
      <c r="A405" s="427" t="s">
        <v>796</v>
      </c>
      <c r="B405" s="423">
        <v>941</v>
      </c>
      <c r="C405" s="94">
        <f t="shared" si="17"/>
        <v>0</v>
      </c>
      <c r="D405" s="94"/>
      <c r="E405" s="420"/>
      <c r="F405" s="650">
        <v>0</v>
      </c>
      <c r="G405" s="651"/>
      <c r="H405" s="593">
        <v>0</v>
      </c>
      <c r="I405" s="98">
        <f t="shared" si="24"/>
        <v>0</v>
      </c>
      <c r="J405" s="98">
        <f t="shared" si="24"/>
        <v>0</v>
      </c>
      <c r="K405" s="96">
        <f t="shared" si="25"/>
        <v>0</v>
      </c>
      <c r="L405" s="96"/>
      <c r="M405" s="96">
        <f t="shared" si="26"/>
        <v>0</v>
      </c>
      <c r="N405" s="107">
        <f>SUMIF([1]CRJ!$H$880:$H$894,B405:B810,[1]CRJ!$J$880:$J$894)</f>
        <v>0</v>
      </c>
      <c r="O405" s="100">
        <f>SUMIF([1]CRJ!$H$880:$H$894,B405:B810,[1]CRJ!$K$880:$K$894)</f>
        <v>0</v>
      </c>
      <c r="P405" s="100">
        <f>SUMIF([1]ChkDJ!$H$849:$H$867,B405:B810,[1]ChkDJ!$J$849:$J$867)</f>
        <v>0</v>
      </c>
      <c r="Q405" s="100">
        <f>SUMIF([1]ChkDJ!$H$849:$H$867,B405:B810,[1]ChkDJ!$K$849:$K$867)</f>
        <v>0</v>
      </c>
      <c r="R405" s="100">
        <f>SUMIF([1]CDJ!$H$190:$H$197,B405:B810,[1]CDJ!$J$190:$J$197)</f>
        <v>0</v>
      </c>
      <c r="S405" s="100">
        <f>SUMIF([1]CDJ!$H$190:$H$197,B405:B810,[1]CDJ!$K$190:$K$197)</f>
        <v>0</v>
      </c>
      <c r="T405" s="102">
        <f>SUMIF([1]GL!$H$448:$H$480,B405:B815,[1]GL!$J$448:$J$487)</f>
        <v>0</v>
      </c>
      <c r="U405" s="100">
        <f>SUMIF([1]GL!$H$448:$H$480,B405:B815,[1]GL!$K$448:$K$487)</f>
        <v>0</v>
      </c>
      <c r="V405" s="102"/>
      <c r="W405" s="100"/>
      <c r="X405" s="101"/>
      <c r="Y405" s="353"/>
    </row>
    <row r="406" spans="1:25" s="350" customFormat="1" ht="15.75" hidden="1" customHeight="1">
      <c r="A406" s="427" t="s">
        <v>797</v>
      </c>
      <c r="B406" s="423">
        <v>944</v>
      </c>
      <c r="C406" s="94">
        <f t="shared" si="17"/>
        <v>0</v>
      </c>
      <c r="D406" s="94"/>
      <c r="E406" s="420"/>
      <c r="F406" s="650">
        <v>0</v>
      </c>
      <c r="G406" s="651"/>
      <c r="H406" s="593">
        <v>0</v>
      </c>
      <c r="I406" s="98">
        <f t="shared" si="24"/>
        <v>0</v>
      </c>
      <c r="J406" s="98">
        <f t="shared" si="24"/>
        <v>0</v>
      </c>
      <c r="K406" s="96">
        <f t="shared" si="25"/>
        <v>0</v>
      </c>
      <c r="L406" s="96"/>
      <c r="M406" s="96">
        <f t="shared" si="26"/>
        <v>0</v>
      </c>
      <c r="N406" s="107">
        <f>SUMIF([1]CRJ!$H$880:$H$894,B406:B811,[1]CRJ!$J$880:$J$894)</f>
        <v>0</v>
      </c>
      <c r="O406" s="100">
        <f>SUMIF([1]CRJ!$H$880:$H$894,B406:B811,[1]CRJ!$K$880:$K$894)</f>
        <v>0</v>
      </c>
      <c r="P406" s="100">
        <f>SUMIF([1]ChkDJ!$H$849:$H$867,B406:B811,[1]ChkDJ!$J$849:$J$867)</f>
        <v>0</v>
      </c>
      <c r="Q406" s="100">
        <f>SUMIF([1]ChkDJ!$H$849:$H$867,B406:B811,[1]ChkDJ!$K$849:$K$867)</f>
        <v>0</v>
      </c>
      <c r="R406" s="100">
        <f>SUMIF([1]CDJ!$H$190:$H$197,B406:B811,[1]CDJ!$J$190:$J$197)</f>
        <v>0</v>
      </c>
      <c r="S406" s="100">
        <f>SUMIF([1]CDJ!$H$190:$H$197,B406:B811,[1]CDJ!$K$190:$K$197)</f>
        <v>0</v>
      </c>
      <c r="T406" s="102">
        <f>SUMIF([1]GL!$H$448:$H$480,B406:B816,[1]GL!$J$448:$J$487)</f>
        <v>0</v>
      </c>
      <c r="U406" s="100">
        <f>SUMIF([1]GL!$H$448:$H$480,B406:B816,[1]GL!$K$448:$K$487)</f>
        <v>0</v>
      </c>
      <c r="V406" s="102"/>
      <c r="W406" s="100"/>
      <c r="X406" s="101"/>
      <c r="Y406" s="353"/>
    </row>
    <row r="407" spans="1:25" s="350" customFormat="1" ht="15.75" hidden="1" customHeight="1">
      <c r="A407" s="427" t="s">
        <v>798</v>
      </c>
      <c r="B407" s="423">
        <v>948</v>
      </c>
      <c r="C407" s="94">
        <f t="shared" si="17"/>
        <v>0</v>
      </c>
      <c r="D407" s="94"/>
      <c r="E407" s="420"/>
      <c r="F407" s="650">
        <v>0</v>
      </c>
      <c r="G407" s="651"/>
      <c r="H407" s="593">
        <v>0</v>
      </c>
      <c r="I407" s="98">
        <f t="shared" si="24"/>
        <v>0</v>
      </c>
      <c r="J407" s="98">
        <f t="shared" si="24"/>
        <v>0</v>
      </c>
      <c r="K407" s="96">
        <f t="shared" si="25"/>
        <v>0</v>
      </c>
      <c r="L407" s="96"/>
      <c r="M407" s="96">
        <f t="shared" si="26"/>
        <v>0</v>
      </c>
      <c r="N407" s="107">
        <f>SUMIF([1]CRJ!$H$880:$H$894,B407:B812,[1]CRJ!$J$880:$J$894)</f>
        <v>0</v>
      </c>
      <c r="O407" s="100">
        <f>SUMIF([1]CRJ!$H$880:$H$894,B407:B812,[1]CRJ!$K$880:$K$894)</f>
        <v>0</v>
      </c>
      <c r="P407" s="100">
        <f>SUMIF([1]ChkDJ!$H$849:$H$867,B407:B812,[1]ChkDJ!$J$849:$J$867)</f>
        <v>0</v>
      </c>
      <c r="Q407" s="100">
        <f>SUMIF([1]ChkDJ!$H$849:$H$867,B407:B812,[1]ChkDJ!$K$849:$K$867)</f>
        <v>0</v>
      </c>
      <c r="R407" s="100">
        <f>SUMIF([1]CDJ!$H$190:$H$197,B407:B812,[1]CDJ!$J$190:$J$197)</f>
        <v>0</v>
      </c>
      <c r="S407" s="100">
        <f>SUMIF([1]CDJ!$H$190:$H$197,B407:B812,[1]CDJ!$K$190:$K$197)</f>
        <v>0</v>
      </c>
      <c r="T407" s="102">
        <f>SUMIF([1]GL!$H$448:$H$480,B407:B817,[1]GL!$J$448:$J$487)</f>
        <v>0</v>
      </c>
      <c r="U407" s="100">
        <f>SUMIF([1]GL!$H$448:$H$480,B407:B817,[1]GL!$K$448:$K$487)</f>
        <v>0</v>
      </c>
      <c r="V407" s="102"/>
      <c r="W407" s="100"/>
      <c r="X407" s="101"/>
      <c r="Y407" s="353"/>
    </row>
    <row r="408" spans="1:25" s="105" customFormat="1" ht="15.75">
      <c r="A408" s="93" t="s">
        <v>296</v>
      </c>
      <c r="B408" s="513">
        <v>950</v>
      </c>
      <c r="C408" s="94">
        <f t="shared" si="17"/>
        <v>9396</v>
      </c>
      <c r="D408" s="94"/>
      <c r="E408" s="661"/>
      <c r="F408" s="653">
        <v>8352</v>
      </c>
      <c r="G408" s="98"/>
      <c r="H408" s="96">
        <v>0</v>
      </c>
      <c r="I408" s="98">
        <f t="shared" si="24"/>
        <v>1044</v>
      </c>
      <c r="J408" s="98">
        <f t="shared" si="24"/>
        <v>0</v>
      </c>
      <c r="K408" s="96">
        <f t="shared" si="25"/>
        <v>9396</v>
      </c>
      <c r="L408" s="96"/>
      <c r="M408" s="96">
        <f t="shared" si="26"/>
        <v>0</v>
      </c>
      <c r="N408" s="107">
        <f>SUMIF([1]CRJ!$H$880:$H$894,B408:B813,[1]CRJ!$J$880:$J$894)</f>
        <v>0</v>
      </c>
      <c r="O408" s="100">
        <f>SUMIF([1]CRJ!$H$880:$H$894,B408:B813,[1]CRJ!$K$880:$K$894)</f>
        <v>0</v>
      </c>
      <c r="P408" s="100">
        <f>SUMIF([1]ChkDJ!$H$849:$H$867,B408:B813,[1]ChkDJ!$J$849:$J$867)</f>
        <v>0</v>
      </c>
      <c r="Q408" s="100">
        <f>SUMIF([1]ChkDJ!$H$849:$H$867,B408:B813,[1]ChkDJ!$K$849:$K$867)</f>
        <v>0</v>
      </c>
      <c r="R408" s="100">
        <f>SUMIF([1]CDJ!$H$190:$H$197,B408:B813,[1]CDJ!$J$190:$J$197)</f>
        <v>0</v>
      </c>
      <c r="S408" s="100">
        <f>SUMIF([1]CDJ!$H$190:$H$197,B408:B813,[1]CDJ!$K$190:$K$197)</f>
        <v>0</v>
      </c>
      <c r="T408" s="102">
        <f>SUMIF([1]GL!$H$448:$H$480,B408:B818,[1]GL!$J$448:$J$487)</f>
        <v>1044</v>
      </c>
      <c r="U408" s="100">
        <f>SUMIF([1]GL!$H$448:$H$480,B408:B818,[1]GL!$K$448:$K$487)</f>
        <v>0</v>
      </c>
      <c r="V408" s="102"/>
      <c r="W408" s="100"/>
      <c r="X408" s="101"/>
      <c r="Y408" s="353"/>
    </row>
    <row r="409" spans="1:25" s="350" customFormat="1" ht="15.75" hidden="1" customHeight="1">
      <c r="A409" s="524" t="s">
        <v>799</v>
      </c>
      <c r="B409" s="423">
        <v>951</v>
      </c>
      <c r="C409" s="94">
        <f t="shared" si="17"/>
        <v>0</v>
      </c>
      <c r="D409" s="94"/>
      <c r="E409" s="662"/>
      <c r="F409" s="650">
        <v>0</v>
      </c>
      <c r="G409" s="651"/>
      <c r="H409" s="593">
        <v>0</v>
      </c>
      <c r="I409" s="98">
        <f t="shared" si="24"/>
        <v>0</v>
      </c>
      <c r="J409" s="98">
        <f t="shared" si="24"/>
        <v>0</v>
      </c>
      <c r="K409" s="96">
        <f t="shared" si="25"/>
        <v>0</v>
      </c>
      <c r="L409" s="96"/>
      <c r="M409" s="96">
        <f t="shared" si="26"/>
        <v>0</v>
      </c>
      <c r="N409" s="107">
        <f>SUMIF([1]CRJ!$H$880:$H$894,B409:B814,[1]CRJ!$J$880:$J$894)</f>
        <v>0</v>
      </c>
      <c r="O409" s="100">
        <f>SUMIF([1]CRJ!$H$880:$H$894,B409:B814,[1]CRJ!$K$880:$K$894)</f>
        <v>0</v>
      </c>
      <c r="P409" s="100">
        <f>SUMIF([1]ChkDJ!$H$849:$H$867,B409:B814,[1]ChkDJ!$J$849:$J$867)</f>
        <v>0</v>
      </c>
      <c r="Q409" s="100">
        <f>SUMIF([1]ChkDJ!$H$849:$H$867,B409:B814,[1]ChkDJ!$K$849:$K$867)</f>
        <v>0</v>
      </c>
      <c r="R409" s="100">
        <f>SUMIF([1]CDJ!$H$190:$H$197,B409:B814,[1]CDJ!$J$190:$J$197)</f>
        <v>0</v>
      </c>
      <c r="S409" s="100">
        <f>SUMIF([1]CDJ!$H$190:$H$197,B409:B814,[1]CDJ!$K$190:$K$197)</f>
        <v>0</v>
      </c>
      <c r="T409" s="102">
        <f>SUMIF([1]GL!$H$448:$H$480,B409:B819,[1]GL!$J$448:$J$487)</f>
        <v>0</v>
      </c>
      <c r="U409" s="100">
        <f>SUMIF([1]GL!$H$448:$H$480,B409:B819,[1]GL!$K$448:$K$487)</f>
        <v>0</v>
      </c>
      <c r="V409" s="102"/>
      <c r="W409" s="100"/>
      <c r="X409" s="101"/>
      <c r="Y409" s="353"/>
    </row>
    <row r="410" spans="1:25" s="350" customFormat="1" ht="15.75" hidden="1" customHeight="1">
      <c r="A410" s="524" t="s">
        <v>800</v>
      </c>
      <c r="B410" s="423">
        <v>954</v>
      </c>
      <c r="C410" s="94">
        <f t="shared" si="17"/>
        <v>0</v>
      </c>
      <c r="D410" s="94"/>
      <c r="E410" s="662"/>
      <c r="F410" s="650">
        <v>0</v>
      </c>
      <c r="G410" s="651"/>
      <c r="H410" s="593">
        <v>0</v>
      </c>
      <c r="I410" s="98">
        <f t="shared" si="24"/>
        <v>0</v>
      </c>
      <c r="J410" s="98">
        <f t="shared" si="24"/>
        <v>0</v>
      </c>
      <c r="K410" s="96">
        <f t="shared" si="25"/>
        <v>0</v>
      </c>
      <c r="L410" s="96"/>
      <c r="M410" s="96">
        <f t="shared" si="26"/>
        <v>0</v>
      </c>
      <c r="N410" s="107">
        <f>SUMIF([1]CRJ!$H$880:$H$894,B410:B815,[1]CRJ!$J$880:$J$894)</f>
        <v>0</v>
      </c>
      <c r="O410" s="100">
        <f>SUMIF([1]CRJ!$H$880:$H$894,B410:B815,[1]CRJ!$K$880:$K$894)</f>
        <v>0</v>
      </c>
      <c r="P410" s="100">
        <f>SUMIF([1]ChkDJ!$H$849:$H$867,B410:B815,[1]ChkDJ!$J$849:$J$867)</f>
        <v>0</v>
      </c>
      <c r="Q410" s="100">
        <f>SUMIF([1]ChkDJ!$H$849:$H$867,B410:B815,[1]ChkDJ!$K$849:$K$867)</f>
        <v>0</v>
      </c>
      <c r="R410" s="100">
        <f>SUMIF([1]CDJ!$H$190:$H$197,B410:B815,[1]CDJ!$J$190:$J$197)</f>
        <v>0</v>
      </c>
      <c r="S410" s="100">
        <f>SUMIF([1]CDJ!$H$190:$H$197,B410:B815,[1]CDJ!$K$190:$K$197)</f>
        <v>0</v>
      </c>
      <c r="T410" s="102">
        <f>SUMIF([1]GL!$H$448:$H$480,B410:B820,[1]GL!$J$448:$J$487)</f>
        <v>0</v>
      </c>
      <c r="U410" s="100">
        <f>SUMIF([1]GL!$H$448:$H$480,B410:B820,[1]GL!$K$448:$K$487)</f>
        <v>0</v>
      </c>
      <c r="V410" s="102"/>
      <c r="W410" s="100"/>
      <c r="X410" s="101"/>
      <c r="Y410" s="353"/>
    </row>
    <row r="411" spans="1:25" s="105" customFormat="1" ht="15.75">
      <c r="A411" s="93" t="s">
        <v>108</v>
      </c>
      <c r="B411" s="513">
        <v>955</v>
      </c>
      <c r="C411" s="94">
        <f t="shared" si="17"/>
        <v>7217024.1499999994</v>
      </c>
      <c r="D411" s="94"/>
      <c r="E411" s="661"/>
      <c r="F411" s="653">
        <v>7089132.4199999999</v>
      </c>
      <c r="G411" s="98"/>
      <c r="H411" s="96">
        <v>893.98000000000013</v>
      </c>
      <c r="I411" s="98">
        <f t="shared" si="24"/>
        <v>128785.71000000002</v>
      </c>
      <c r="J411" s="98">
        <f t="shared" si="24"/>
        <v>0</v>
      </c>
      <c r="K411" s="96">
        <f t="shared" si="25"/>
        <v>7217918.1299999999</v>
      </c>
      <c r="L411" s="96"/>
      <c r="M411" s="96">
        <f t="shared" si="26"/>
        <v>893.98000000000013</v>
      </c>
      <c r="N411" s="107">
        <f>SUMIF([1]CRJ!$H$880:$H$894,B411:B816,[1]CRJ!$J$880:$J$894)</f>
        <v>128785.71000000002</v>
      </c>
      <c r="O411" s="100">
        <f>SUMIF([1]CRJ!$H$880:$H$894,B411:B816,[1]CRJ!$K$880:$K$894)</f>
        <v>0</v>
      </c>
      <c r="P411" s="100">
        <f>SUMIF([1]ChkDJ!$H$849:$H$867,B411:B816,[1]ChkDJ!$J$849:$J$867)</f>
        <v>0</v>
      </c>
      <c r="Q411" s="100">
        <f>SUMIF([1]ChkDJ!$H$849:$H$867,B411:B816,[1]ChkDJ!$K$849:$K$867)</f>
        <v>0</v>
      </c>
      <c r="R411" s="100">
        <f>SUMIF([1]CDJ!$H$190:$H$197,B411:B816,[1]CDJ!$J$190:$J$197)</f>
        <v>0</v>
      </c>
      <c r="S411" s="100">
        <f>SUMIF([1]CDJ!$H$190:$H$197,B411:B816,[1]CDJ!$K$190:$K$197)</f>
        <v>0</v>
      </c>
      <c r="T411" s="102">
        <f>SUMIF([1]GL!$H$448:$H$480,B411:B821,[1]GL!$J$448:$J$487)</f>
        <v>0</v>
      </c>
      <c r="U411" s="100">
        <f>SUMIF([1]GL!$H$448:$H$480,B411:B821,[1]GL!$K$448:$K$487)</f>
        <v>0</v>
      </c>
      <c r="V411" s="102"/>
      <c r="W411" s="100"/>
      <c r="X411" s="101"/>
      <c r="Y411" s="353"/>
    </row>
    <row r="412" spans="1:25" s="350" customFormat="1" ht="15.75" hidden="1" customHeight="1">
      <c r="A412" s="427" t="s">
        <v>801</v>
      </c>
      <c r="B412" s="423">
        <v>961</v>
      </c>
      <c r="C412" s="94">
        <f t="shared" si="17"/>
        <v>0</v>
      </c>
      <c r="D412" s="94"/>
      <c r="E412" s="662"/>
      <c r="F412" s="650">
        <v>0</v>
      </c>
      <c r="G412" s="651"/>
      <c r="H412" s="593">
        <v>0</v>
      </c>
      <c r="I412" s="98">
        <f t="shared" si="24"/>
        <v>0</v>
      </c>
      <c r="J412" s="98">
        <f t="shared" si="24"/>
        <v>0</v>
      </c>
      <c r="K412" s="96">
        <f t="shared" si="25"/>
        <v>0</v>
      </c>
      <c r="L412" s="96"/>
      <c r="M412" s="96">
        <f t="shared" si="26"/>
        <v>0</v>
      </c>
      <c r="N412" s="107">
        <f>SUMIF([1]CRJ!$H$880:$H$894,B412:B817,[1]CRJ!$J$880:$J$894)</f>
        <v>0</v>
      </c>
      <c r="O412" s="100">
        <f>SUMIF([1]CRJ!$H$880:$H$894,B412:B817,[1]CRJ!$K$880:$K$894)</f>
        <v>0</v>
      </c>
      <c r="P412" s="100">
        <f>SUMIF([1]ChkDJ!$H$849:$H$867,B412:B817,[1]ChkDJ!$J$849:$J$867)</f>
        <v>0</v>
      </c>
      <c r="Q412" s="100">
        <f>SUMIF([1]ChkDJ!$H$849:$H$867,B412:B817,[1]ChkDJ!$K$849:$K$867)</f>
        <v>0</v>
      </c>
      <c r="R412" s="100">
        <f>SUMIF([1]CDJ!$H$190:$H$197,B412:B817,[1]CDJ!$J$190:$J$197)</f>
        <v>0</v>
      </c>
      <c r="S412" s="100">
        <f>SUMIF([1]CDJ!$H$190:$H$197,B412:B817,[1]CDJ!$K$190:$K$197)</f>
        <v>0</v>
      </c>
      <c r="T412" s="102">
        <f>SUMIF([1]GL!$H$448:$H$480,B412:B822,[1]GL!$J$448:$J$487)</f>
        <v>0</v>
      </c>
      <c r="U412" s="100">
        <f>SUMIF([1]GL!$H$448:$H$480,B412:B822,[1]GL!$K$448:$K$487)</f>
        <v>0</v>
      </c>
      <c r="V412" s="102"/>
      <c r="W412" s="100"/>
      <c r="X412" s="101"/>
      <c r="Y412" s="353"/>
    </row>
    <row r="413" spans="1:25" s="350" customFormat="1" ht="15.75" hidden="1" customHeight="1">
      <c r="A413" s="427" t="s">
        <v>802</v>
      </c>
      <c r="B413" s="423">
        <v>962</v>
      </c>
      <c r="C413" s="94">
        <f t="shared" si="17"/>
        <v>0</v>
      </c>
      <c r="D413" s="94"/>
      <c r="E413" s="662"/>
      <c r="F413" s="650">
        <v>0</v>
      </c>
      <c r="G413" s="651"/>
      <c r="H413" s="593">
        <v>0</v>
      </c>
      <c r="I413" s="98">
        <f t="shared" si="24"/>
        <v>0</v>
      </c>
      <c r="J413" s="98">
        <f t="shared" si="24"/>
        <v>0</v>
      </c>
      <c r="K413" s="96">
        <f t="shared" si="25"/>
        <v>0</v>
      </c>
      <c r="L413" s="96"/>
      <c r="M413" s="96">
        <f t="shared" si="26"/>
        <v>0</v>
      </c>
      <c r="N413" s="107">
        <f>SUMIF([1]CRJ!$H$880:$H$894,B413:B818,[1]CRJ!$J$880:$J$894)</f>
        <v>0</v>
      </c>
      <c r="O413" s="100">
        <f>SUMIF([1]CRJ!$H$880:$H$894,B413:B818,[1]CRJ!$K$880:$K$894)</f>
        <v>0</v>
      </c>
      <c r="P413" s="100">
        <f>SUMIF([1]ChkDJ!$H$849:$H$867,B413:B818,[1]ChkDJ!$J$849:$J$867)</f>
        <v>0</v>
      </c>
      <c r="Q413" s="100">
        <f>SUMIF([1]ChkDJ!$H$849:$H$867,B413:B818,[1]ChkDJ!$K$849:$K$867)</f>
        <v>0</v>
      </c>
      <c r="R413" s="100">
        <f>SUMIF([1]CDJ!$H$190:$H$197,B413:B818,[1]CDJ!$J$190:$J$197)</f>
        <v>0</v>
      </c>
      <c r="S413" s="100">
        <f>SUMIF([1]CDJ!$H$190:$H$197,B413:B818,[1]CDJ!$K$190:$K$197)</f>
        <v>0</v>
      </c>
      <c r="T413" s="102">
        <f>SUMIF([1]GL!$H$448:$H$480,B413:B823,[1]GL!$J$448:$J$487)</f>
        <v>0</v>
      </c>
      <c r="U413" s="100">
        <f>SUMIF([1]GL!$H$448:$H$480,B413:B823,[1]GL!$K$448:$K$487)</f>
        <v>0</v>
      </c>
      <c r="V413" s="102"/>
      <c r="W413" s="100"/>
      <c r="X413" s="101"/>
      <c r="Y413" s="353"/>
    </row>
    <row r="414" spans="1:25" s="105" customFormat="1" ht="15.75">
      <c r="A414" s="93" t="s">
        <v>73</v>
      </c>
      <c r="B414" s="513">
        <v>969</v>
      </c>
      <c r="C414" s="94">
        <f t="shared" si="17"/>
        <v>347250</v>
      </c>
      <c r="D414" s="94"/>
      <c r="E414" s="661"/>
      <c r="F414" s="653">
        <v>99500</v>
      </c>
      <c r="G414" s="98"/>
      <c r="H414" s="96">
        <v>0</v>
      </c>
      <c r="I414" s="98">
        <f t="shared" si="24"/>
        <v>247750</v>
      </c>
      <c r="J414" s="98">
        <f t="shared" si="24"/>
        <v>0</v>
      </c>
      <c r="K414" s="96">
        <f t="shared" si="25"/>
        <v>347250</v>
      </c>
      <c r="L414" s="96"/>
      <c r="M414" s="96">
        <f t="shared" si="26"/>
        <v>0</v>
      </c>
      <c r="N414" s="107">
        <f>SUMIF([1]CRJ!$H$880:$H$894,B414:B819,[1]CRJ!$J$880:$J$894)</f>
        <v>0</v>
      </c>
      <c r="O414" s="100">
        <f>SUMIF([1]CRJ!$H$880:$H$894,B414:B819,[1]CRJ!$K$880:$K$894)</f>
        <v>0</v>
      </c>
      <c r="P414" s="100">
        <f>SUMIF([1]ChkDJ!$H$849:$H$867,B414:B819,[1]ChkDJ!$J$849:$J$867)</f>
        <v>0</v>
      </c>
      <c r="Q414" s="100">
        <f>SUMIF([1]ChkDJ!$H$849:$H$867,B414:B819,[1]ChkDJ!$K$849:$K$867)</f>
        <v>0</v>
      </c>
      <c r="R414" s="100">
        <f>SUMIF([1]CDJ!$H$190:$H$197,B414:B819,[1]CDJ!$J$190:$J$197)</f>
        <v>247750</v>
      </c>
      <c r="S414" s="100">
        <f>SUMIF([1]CDJ!$H$190:$H$197,B414:B819,[1]CDJ!$K$190:$K$197)</f>
        <v>0</v>
      </c>
      <c r="T414" s="102">
        <f>SUMIF([1]GL!$H$448:$H$480,B414:B824,[1]GL!$J$448:$J$487)</f>
        <v>0</v>
      </c>
      <c r="U414" s="100">
        <f>SUMIF([1]GL!$H$448:$H$480,B414:B824,[1]GL!$K$448:$K$487)</f>
        <v>0</v>
      </c>
      <c r="V414" s="102"/>
      <c r="W414" s="100"/>
      <c r="X414" s="101"/>
      <c r="Y414" s="353"/>
    </row>
    <row r="415" spans="1:25" s="105" customFormat="1" ht="15.75" hidden="1">
      <c r="A415" s="93" t="s">
        <v>74</v>
      </c>
      <c r="B415" s="513">
        <v>971</v>
      </c>
      <c r="C415" s="94">
        <f t="shared" si="17"/>
        <v>0</v>
      </c>
      <c r="D415" s="94"/>
      <c r="E415" s="661"/>
      <c r="F415" s="653">
        <v>0</v>
      </c>
      <c r="G415" s="98"/>
      <c r="H415" s="96">
        <v>0</v>
      </c>
      <c r="I415" s="98">
        <f t="shared" si="24"/>
        <v>0</v>
      </c>
      <c r="J415" s="98">
        <f t="shared" si="24"/>
        <v>0</v>
      </c>
      <c r="K415" s="96">
        <f t="shared" si="25"/>
        <v>0</v>
      </c>
      <c r="L415" s="96"/>
      <c r="M415" s="96">
        <f t="shared" si="26"/>
        <v>0</v>
      </c>
      <c r="N415" s="107"/>
      <c r="O415" s="100"/>
      <c r="P415" s="100"/>
      <c r="Q415" s="100"/>
      <c r="R415" s="100">
        <f>SUMIF([1]CDJ!$H$190:$H$197,B415:B820,[1]CDJ!$J$190:$J$197)</f>
        <v>0</v>
      </c>
      <c r="S415" s="100"/>
      <c r="T415" s="102"/>
      <c r="U415" s="100"/>
      <c r="V415" s="102"/>
      <c r="W415" s="100"/>
      <c r="X415" s="101"/>
      <c r="Y415" s="616"/>
    </row>
    <row r="416" spans="1:25" s="350" customFormat="1" ht="15.75" hidden="1" customHeight="1">
      <c r="A416" s="427" t="s">
        <v>803</v>
      </c>
      <c r="B416" s="423">
        <v>974</v>
      </c>
      <c r="C416" s="94">
        <f t="shared" si="17"/>
        <v>0</v>
      </c>
      <c r="D416" s="94"/>
      <c r="E416" s="662"/>
      <c r="F416" s="650">
        <v>0</v>
      </c>
      <c r="G416" s="651"/>
      <c r="H416" s="593">
        <v>0</v>
      </c>
      <c r="I416" s="98">
        <f t="shared" ref="I416:J418" si="27">+N416+P416+R416+T416+X416</f>
        <v>0</v>
      </c>
      <c r="J416" s="98">
        <f t="shared" si="27"/>
        <v>0</v>
      </c>
      <c r="K416" s="96">
        <f t="shared" si="25"/>
        <v>0</v>
      </c>
      <c r="L416" s="96"/>
      <c r="M416" s="96">
        <f t="shared" si="26"/>
        <v>0</v>
      </c>
      <c r="N416" s="107"/>
      <c r="O416" s="100"/>
      <c r="P416" s="100"/>
      <c r="Q416" s="100"/>
      <c r="R416" s="100">
        <f>SUMIF([1]CDJ!$H$190:$H$197,B416:B821,[1]CDJ!$J$190:$J$197)</f>
        <v>0</v>
      </c>
      <c r="S416" s="100"/>
      <c r="T416" s="102"/>
      <c r="U416" s="100"/>
      <c r="V416" s="102"/>
      <c r="W416" s="100"/>
      <c r="X416" s="378"/>
      <c r="Y416" s="617"/>
    </row>
    <row r="417" spans="1:25" s="350" customFormat="1" ht="15.75" hidden="1" customHeight="1">
      <c r="A417" s="427" t="s">
        <v>804</v>
      </c>
      <c r="B417" s="423">
        <v>975</v>
      </c>
      <c r="C417" s="94">
        <f>+K417-M417</f>
        <v>0</v>
      </c>
      <c r="D417" s="94"/>
      <c r="E417" s="662"/>
      <c r="F417" s="650">
        <v>0</v>
      </c>
      <c r="G417" s="651"/>
      <c r="H417" s="593">
        <v>0</v>
      </c>
      <c r="I417" s="98">
        <f t="shared" si="27"/>
        <v>0</v>
      </c>
      <c r="J417" s="98">
        <f t="shared" si="27"/>
        <v>0</v>
      </c>
      <c r="K417" s="96">
        <f t="shared" si="25"/>
        <v>0</v>
      </c>
      <c r="L417" s="96"/>
      <c r="M417" s="96">
        <f t="shared" si="26"/>
        <v>0</v>
      </c>
      <c r="N417" s="107"/>
      <c r="O417" s="100"/>
      <c r="P417" s="100"/>
      <c r="Q417" s="100"/>
      <c r="R417" s="100">
        <f>SUMIF([1]CDJ!$H$190:$H$197,B417:B822,[1]CDJ!$J$190:$J$197)</f>
        <v>0</v>
      </c>
      <c r="S417" s="100"/>
      <c r="T417" s="102"/>
      <c r="U417" s="100"/>
      <c r="V417" s="102"/>
      <c r="W417" s="100"/>
      <c r="X417" s="378"/>
      <c r="Y417" s="617"/>
    </row>
    <row r="418" spans="1:25" s="350" customFormat="1" ht="15.75" hidden="1" customHeight="1">
      <c r="A418" s="427" t="s">
        <v>805</v>
      </c>
      <c r="B418" s="423">
        <v>979</v>
      </c>
      <c r="C418" s="94">
        <f>+K418-M418</f>
        <v>0</v>
      </c>
      <c r="D418" s="94"/>
      <c r="E418" s="662"/>
      <c r="F418" s="650">
        <v>0</v>
      </c>
      <c r="G418" s="651"/>
      <c r="H418" s="593">
        <v>0</v>
      </c>
      <c r="I418" s="98">
        <f t="shared" si="27"/>
        <v>0</v>
      </c>
      <c r="J418" s="98">
        <f t="shared" si="27"/>
        <v>0</v>
      </c>
      <c r="K418" s="96">
        <f t="shared" si="25"/>
        <v>0</v>
      </c>
      <c r="L418" s="96"/>
      <c r="M418" s="96">
        <f t="shared" si="26"/>
        <v>0</v>
      </c>
      <c r="N418" s="107"/>
      <c r="O418" s="100"/>
      <c r="P418" s="100"/>
      <c r="Q418" s="100"/>
      <c r="R418" s="100">
        <f>SUMIF([1]CDJ!$H$190:$H$197,B418:B823,[1]CDJ!$J$190:$J$197)</f>
        <v>0</v>
      </c>
      <c r="S418" s="100"/>
      <c r="T418" s="102"/>
      <c r="U418" s="100"/>
      <c r="V418" s="102"/>
      <c r="W418" s="100"/>
      <c r="X418" s="378"/>
      <c r="Y418" s="617"/>
    </row>
    <row r="419" spans="1:25" s="105" customFormat="1" ht="16.5" thickBot="1">
      <c r="A419" s="93"/>
      <c r="B419" s="513"/>
      <c r="C419" s="94"/>
      <c r="D419" s="94"/>
      <c r="E419" s="661"/>
      <c r="F419" s="584"/>
      <c r="G419" s="585"/>
      <c r="H419" s="96"/>
      <c r="I419" s="98"/>
      <c r="J419" s="98"/>
      <c r="K419" s="96"/>
      <c r="L419" s="96"/>
      <c r="M419" s="96"/>
      <c r="N419" s="107"/>
      <c r="O419" s="100"/>
      <c r="P419" s="100"/>
      <c r="Q419" s="100"/>
      <c r="R419" s="100"/>
      <c r="S419" s="100"/>
      <c r="T419" s="102"/>
      <c r="U419" s="100"/>
      <c r="V419" s="102"/>
      <c r="W419" s="100"/>
      <c r="X419" s="101"/>
      <c r="Y419" s="618"/>
    </row>
    <row r="420" spans="1:25" ht="16.5" thickBot="1">
      <c r="A420" s="108" t="s">
        <v>75</v>
      </c>
      <c r="B420" s="513"/>
      <c r="C420" s="614">
        <f t="shared" ref="C420:S420" si="28">SUM(C9:C419)</f>
        <v>263213889.71999997</v>
      </c>
      <c r="D420" s="614">
        <f t="shared" si="28"/>
        <v>0</v>
      </c>
      <c r="E420" s="663">
        <f t="shared" si="28"/>
        <v>263213889.71689993</v>
      </c>
      <c r="F420" s="614">
        <f t="shared" si="28"/>
        <v>530582097.55309981</v>
      </c>
      <c r="G420" s="614">
        <f t="shared" si="28"/>
        <v>0</v>
      </c>
      <c r="H420" s="614">
        <f t="shared" si="28"/>
        <v>530582097.55000001</v>
      </c>
      <c r="I420" s="614">
        <f t="shared" si="28"/>
        <v>21751300.310000002</v>
      </c>
      <c r="J420" s="614">
        <f t="shared" si="28"/>
        <v>21751300.309999995</v>
      </c>
      <c r="K420" s="614">
        <f t="shared" si="28"/>
        <v>552333397.86309981</v>
      </c>
      <c r="L420" s="614">
        <f t="shared" si="28"/>
        <v>0</v>
      </c>
      <c r="M420" s="614">
        <f t="shared" si="28"/>
        <v>552333397.86000001</v>
      </c>
      <c r="N420" s="614">
        <f>SUM(N9:N419)</f>
        <v>8669039.4500000011</v>
      </c>
      <c r="O420" s="614">
        <f t="shared" si="28"/>
        <v>8669039.4499999993</v>
      </c>
      <c r="P420" s="614">
        <f>SUM(P9:P419)</f>
        <v>3510969.959999999</v>
      </c>
      <c r="Q420" s="614">
        <f>SUM(Q9:Q419)</f>
        <v>3510969.96</v>
      </c>
      <c r="R420" s="614">
        <f t="shared" si="28"/>
        <v>5552432.1400000006</v>
      </c>
      <c r="S420" s="614">
        <f t="shared" si="28"/>
        <v>5552432.1400000006</v>
      </c>
      <c r="T420" s="521">
        <f>SUM(T9:T419)</f>
        <v>4018858.76</v>
      </c>
      <c r="U420" s="521">
        <f>SUM(U9:U419)</f>
        <v>4018858.7599999993</v>
      </c>
      <c r="V420" s="521">
        <f>SUM(V9:V415)</f>
        <v>0</v>
      </c>
      <c r="W420" s="521">
        <f>SUM(W9:W415)</f>
        <v>0</v>
      </c>
      <c r="X420" s="521">
        <f>SUM(X9:X415)</f>
        <v>0</v>
      </c>
      <c r="Y420" s="521">
        <f>SUM(Y9:Y415)</f>
        <v>0</v>
      </c>
    </row>
    <row r="421" spans="1:25" s="105" customFormat="1" ht="16.5" thickTop="1">
      <c r="A421" s="93"/>
      <c r="B421" s="513"/>
      <c r="C421" s="95"/>
      <c r="D421" s="95"/>
      <c r="E421" s="664" t="s">
        <v>76</v>
      </c>
      <c r="F421" s="96">
        <f>F420-F422</f>
        <v>3.0997991561889648E-3</v>
      </c>
      <c r="G421" s="181"/>
      <c r="H421" s="101"/>
      <c r="I421" s="98"/>
      <c r="J421" s="179">
        <f>I420-J420</f>
        <v>0</v>
      </c>
      <c r="K421" s="96"/>
      <c r="L421" s="96"/>
      <c r="M421" s="97">
        <f>+K420-M420</f>
        <v>3.0997991561889648E-3</v>
      </c>
      <c r="N421" s="98"/>
      <c r="O421" s="99">
        <f>+O420-N420</f>
        <v>0</v>
      </c>
      <c r="P421" s="96"/>
      <c r="Q421" s="180">
        <f>+Q420-P420</f>
        <v>0</v>
      </c>
      <c r="R421" s="181"/>
      <c r="S421" s="99">
        <f>+S420-R420</f>
        <v>0</v>
      </c>
      <c r="T421" s="182"/>
      <c r="U421" s="365">
        <f>+U420-T420</f>
        <v>0</v>
      </c>
      <c r="V421" s="182" t="s">
        <v>76</v>
      </c>
      <c r="W421" s="365">
        <f>+W420-V420</f>
        <v>0</v>
      </c>
      <c r="X421" s="182" t="s">
        <v>76</v>
      </c>
      <c r="Y421" s="365">
        <f>+Y420-X420</f>
        <v>0</v>
      </c>
    </row>
    <row r="422" spans="1:25" ht="16.5" thickBot="1">
      <c r="A422" s="109"/>
      <c r="B422" s="515"/>
      <c r="C422" s="110"/>
      <c r="D422" s="110"/>
      <c r="E422" s="110"/>
      <c r="F422" s="111">
        <v>530582097.55000001</v>
      </c>
      <c r="G422" s="111"/>
      <c r="H422" s="112">
        <f>+H420-H421</f>
        <v>530582097.55000001</v>
      </c>
      <c r="I422" s="113"/>
      <c r="J422" s="114"/>
      <c r="K422" s="111"/>
      <c r="L422" s="111"/>
      <c r="M422" s="112"/>
      <c r="N422" s="113"/>
      <c r="O422" s="115">
        <f>+N420-O420</f>
        <v>0</v>
      </c>
      <c r="P422" s="111"/>
      <c r="Q422" s="112"/>
      <c r="R422" s="113"/>
      <c r="S422" s="115">
        <f>+R420-S420</f>
        <v>0</v>
      </c>
      <c r="T422" s="116"/>
      <c r="U422" s="366">
        <f>+T420-U420</f>
        <v>0</v>
      </c>
      <c r="V422" s="116"/>
      <c r="W422" s="366">
        <f>+V420-W420</f>
        <v>0</v>
      </c>
      <c r="X422" s="362"/>
      <c r="Y422" s="354"/>
    </row>
    <row r="423" spans="1:25" ht="15.75">
      <c r="A423" s="117"/>
      <c r="B423" s="117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04"/>
      <c r="O423" s="120"/>
      <c r="P423" s="120"/>
      <c r="Q423" s="120"/>
      <c r="R423" s="120"/>
      <c r="S423" s="120"/>
      <c r="T423" s="121"/>
      <c r="U423" s="121"/>
      <c r="V423" s="121"/>
      <c r="W423" s="121"/>
      <c r="X423" s="104"/>
    </row>
    <row r="424" spans="1:25" s="161" customFormat="1" ht="15">
      <c r="B424" s="159"/>
      <c r="C424" s="159" t="s">
        <v>77</v>
      </c>
      <c r="D424" s="159"/>
      <c r="E424" s="159"/>
      <c r="F424" s="167">
        <f>+C420-E420</f>
        <v>3.1000375747680664E-3</v>
      </c>
      <c r="G424" s="167"/>
      <c r="H424" s="162"/>
      <c r="I424" s="162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4"/>
      <c r="U424" s="164"/>
      <c r="X424" s="165"/>
    </row>
    <row r="425" spans="1:25" s="161" customFormat="1" ht="14.25"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4"/>
      <c r="U425" s="164"/>
      <c r="X425" s="165"/>
    </row>
    <row r="426" spans="1:25" s="161" customFormat="1" ht="15">
      <c r="B426" s="166"/>
      <c r="C426" s="166"/>
      <c r="D426" s="166"/>
      <c r="E426" s="162"/>
      <c r="F426" s="165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4"/>
      <c r="U426" s="164"/>
      <c r="X426" s="187"/>
    </row>
    <row r="427" spans="1:25" s="161" customFormat="1" ht="14.25">
      <c r="B427" s="159"/>
      <c r="C427" s="159" t="s">
        <v>78</v>
      </c>
      <c r="D427" s="159"/>
      <c r="E427" s="159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4"/>
      <c r="U427" s="164"/>
      <c r="X427" s="165"/>
    </row>
    <row r="428" spans="1:25" s="161" customFormat="1" ht="15">
      <c r="B428" s="160"/>
      <c r="C428" s="160" t="s">
        <v>79</v>
      </c>
      <c r="D428" s="160"/>
      <c r="E428" s="160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4"/>
      <c r="U428" s="164"/>
      <c r="X428" s="165"/>
    </row>
    <row r="429" spans="1:25"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1"/>
      <c r="U429" s="121"/>
      <c r="X429" s="104"/>
    </row>
    <row r="430" spans="1:25" ht="15.75">
      <c r="A430" s="117"/>
      <c r="B430" s="117"/>
      <c r="C430" s="118"/>
      <c r="D430" s="118"/>
      <c r="E430" s="118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1"/>
      <c r="U430" s="121"/>
      <c r="X430" s="104"/>
    </row>
    <row r="431" spans="1:25" ht="15.75">
      <c r="A431" s="117"/>
      <c r="B431" s="117"/>
      <c r="C431" s="118"/>
      <c r="D431" s="118"/>
      <c r="E431" s="118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1"/>
      <c r="U431" s="121"/>
      <c r="X431" s="104"/>
    </row>
    <row r="432" spans="1:25" ht="15.75">
      <c r="A432" s="117"/>
      <c r="B432" s="117"/>
      <c r="C432" s="118"/>
      <c r="D432" s="118"/>
      <c r="E432" s="118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1"/>
      <c r="U432" s="121"/>
      <c r="X432" s="104"/>
    </row>
    <row r="433" spans="1:24" ht="15.75">
      <c r="A433" s="117"/>
      <c r="B433" s="117"/>
      <c r="C433" s="118"/>
      <c r="D433" s="118"/>
      <c r="E433" s="118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1"/>
      <c r="U433" s="121"/>
      <c r="X433" s="104"/>
    </row>
    <row r="434" spans="1:24" ht="15">
      <c r="A434" s="122"/>
      <c r="B434" s="122"/>
      <c r="C434" s="123"/>
      <c r="D434" s="123"/>
      <c r="E434" s="123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1"/>
      <c r="U434" s="121"/>
      <c r="X434" s="104"/>
    </row>
    <row r="435" spans="1:24" ht="15">
      <c r="A435" s="122"/>
      <c r="B435" s="122"/>
      <c r="C435" s="123"/>
      <c r="D435" s="123"/>
      <c r="E435" s="123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1"/>
      <c r="U435" s="121"/>
      <c r="X435" s="104"/>
    </row>
    <row r="436" spans="1:24" ht="15">
      <c r="A436" s="122"/>
      <c r="B436" s="122"/>
      <c r="C436" s="123"/>
      <c r="D436" s="123"/>
      <c r="E436" s="123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1"/>
      <c r="U436" s="121"/>
      <c r="X436" s="104"/>
    </row>
    <row r="437" spans="1:24" ht="15">
      <c r="A437" s="122"/>
      <c r="B437" s="122"/>
      <c r="C437" s="123"/>
      <c r="D437" s="123"/>
      <c r="E437" s="123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1"/>
      <c r="U437" s="121"/>
      <c r="X437" s="104"/>
    </row>
  </sheetData>
  <mergeCells count="17">
    <mergeCell ref="A1:E1"/>
    <mergeCell ref="A2:E2"/>
    <mergeCell ref="A3:E3"/>
    <mergeCell ref="A4:E4"/>
    <mergeCell ref="A6:A7"/>
    <mergeCell ref="B6:B7"/>
    <mergeCell ref="C6:C7"/>
    <mergeCell ref="E6:E7"/>
    <mergeCell ref="T6:U6"/>
    <mergeCell ref="V6:W6"/>
    <mergeCell ref="X6:Y6"/>
    <mergeCell ref="F6:H6"/>
    <mergeCell ref="I6:J6"/>
    <mergeCell ref="K6:M6"/>
    <mergeCell ref="N6:O6"/>
    <mergeCell ref="P6:Q6"/>
    <mergeCell ref="R6:S6"/>
  </mergeCells>
  <printOptions horizontalCentered="1"/>
  <pageMargins left="0.46" right="0.36" top="0.72" bottom="1.1499999999999999" header="0.28000000000000003" footer="0.67"/>
  <pageSetup paperSize="5" scale="98" orientation="portrait" horizontalDpi="4294967293" verticalDpi="4294967293" r:id="rId1"/>
  <headerFooter>
    <oddFooter>Page &amp;P of 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opLeftCell="A10" workbookViewId="0">
      <selection activeCell="A28" sqref="A28"/>
    </sheetView>
  </sheetViews>
  <sheetFormatPr defaultRowHeight="12.75"/>
  <cols>
    <col min="1" max="1" width="53.42578125" customWidth="1"/>
    <col min="2" max="2" width="4" customWidth="1"/>
    <col min="3" max="3" width="14.5703125" bestFit="1" customWidth="1"/>
    <col min="4" max="4" width="3.7109375" style="13" customWidth="1"/>
    <col min="5" max="5" width="15" bestFit="1" customWidth="1"/>
    <col min="6" max="6" width="16.5703125" customWidth="1"/>
    <col min="9" max="9" width="66.140625" bestFit="1" customWidth="1"/>
    <col min="10" max="11" width="13.5703125" bestFit="1" customWidth="1"/>
    <col min="14" max="14" width="24.28515625" bestFit="1" customWidth="1"/>
    <col min="15" max="15" width="12.85546875" bestFit="1" customWidth="1"/>
  </cols>
  <sheetData>
    <row r="1" spans="1:11" ht="18">
      <c r="A1" s="732" t="s">
        <v>979</v>
      </c>
      <c r="B1" s="732"/>
      <c r="C1" s="732"/>
      <c r="D1" s="732"/>
      <c r="E1" s="732"/>
      <c r="F1" s="579"/>
    </row>
    <row r="2" spans="1:11" ht="18">
      <c r="A2" s="732" t="s">
        <v>980</v>
      </c>
      <c r="B2" s="732"/>
      <c r="C2" s="732"/>
      <c r="D2" s="732"/>
      <c r="E2" s="732"/>
      <c r="F2" s="579"/>
    </row>
    <row r="3" spans="1:11" ht="18">
      <c r="A3" s="732" t="s">
        <v>1002</v>
      </c>
      <c r="B3" s="732"/>
      <c r="C3" s="732"/>
      <c r="D3" s="732"/>
      <c r="E3" s="732"/>
      <c r="F3" s="579"/>
    </row>
    <row r="4" spans="1:11" ht="18">
      <c r="A4" s="733" t="str">
        <f>+Interest!A4</f>
        <v>For the Period-Ended, September 30, 2012</v>
      </c>
      <c r="B4" s="732"/>
      <c r="C4" s="732"/>
      <c r="D4" s="732"/>
      <c r="E4" s="732"/>
      <c r="F4" s="579"/>
    </row>
    <row r="5" spans="1:11">
      <c r="A5" s="13"/>
      <c r="B5" s="13"/>
      <c r="C5" s="13"/>
      <c r="E5" s="13"/>
    </row>
    <row r="6" spans="1:11">
      <c r="A6" s="13"/>
      <c r="B6" s="13"/>
      <c r="C6" s="13"/>
      <c r="E6" s="13"/>
    </row>
    <row r="7" spans="1:11">
      <c r="A7" s="13" t="s">
        <v>981</v>
      </c>
      <c r="B7" s="13"/>
      <c r="C7" s="13"/>
      <c r="E7" s="150">
        <f>+BS!F218</f>
        <v>143862384.54999998</v>
      </c>
    </row>
    <row r="8" spans="1:11">
      <c r="A8" s="350" t="s">
        <v>1105</v>
      </c>
      <c r="B8" s="13"/>
      <c r="C8" s="13"/>
      <c r="E8" s="16"/>
    </row>
    <row r="9" spans="1:11">
      <c r="A9" s="13"/>
      <c r="B9" s="13"/>
      <c r="C9" s="13"/>
      <c r="E9" s="13"/>
      <c r="K9" s="19"/>
    </row>
    <row r="10" spans="1:11">
      <c r="A10" s="13" t="s">
        <v>982</v>
      </c>
      <c r="B10" s="13"/>
      <c r="C10" s="16"/>
      <c r="E10" s="13"/>
    </row>
    <row r="11" spans="1:11">
      <c r="A11" s="13" t="s">
        <v>983</v>
      </c>
      <c r="B11" s="13"/>
      <c r="C11" s="16">
        <f>+BS!F222</f>
        <v>19201724.539999999</v>
      </c>
      <c r="E11" s="13"/>
    </row>
    <row r="12" spans="1:11">
      <c r="A12" s="13" t="s">
        <v>984</v>
      </c>
      <c r="B12" s="13"/>
      <c r="C12" s="16">
        <f>+BS!F223</f>
        <v>9865799.1899999995</v>
      </c>
      <c r="E12" s="16">
        <f>SUM(C10:C12)</f>
        <v>29067523.729999997</v>
      </c>
    </row>
    <row r="13" spans="1:11">
      <c r="A13" s="13" t="s">
        <v>985</v>
      </c>
      <c r="B13" s="13"/>
      <c r="C13" s="16"/>
      <c r="E13" s="14"/>
    </row>
    <row r="14" spans="1:11">
      <c r="A14" s="13" t="s">
        <v>246</v>
      </c>
      <c r="B14" s="13"/>
      <c r="C14" s="13"/>
      <c r="E14" s="16">
        <f>SUM(E7:E13)</f>
        <v>172929908.27999997</v>
      </c>
    </row>
    <row r="15" spans="1:11">
      <c r="A15" s="13" t="s">
        <v>986</v>
      </c>
      <c r="B15" s="13"/>
      <c r="C15" s="13"/>
      <c r="E15" s="13"/>
    </row>
    <row r="16" spans="1:11">
      <c r="A16" s="13" t="s">
        <v>987</v>
      </c>
      <c r="B16" s="13"/>
      <c r="C16" s="16"/>
      <c r="E16" s="13"/>
    </row>
    <row r="17" spans="1:10">
      <c r="A17" s="13" t="s">
        <v>988</v>
      </c>
      <c r="B17" s="13"/>
      <c r="C17" s="12">
        <v>0</v>
      </c>
      <c r="E17" s="13"/>
    </row>
    <row r="18" spans="1:10">
      <c r="A18" s="13" t="s">
        <v>989</v>
      </c>
      <c r="B18" s="13"/>
      <c r="C18" s="12"/>
      <c r="E18" s="16"/>
    </row>
    <row r="19" spans="1:10">
      <c r="A19" s="13" t="s">
        <v>990</v>
      </c>
      <c r="B19" s="13"/>
      <c r="C19" s="12">
        <v>0</v>
      </c>
      <c r="E19" s="13"/>
    </row>
    <row r="20" spans="1:10">
      <c r="A20" s="13" t="s">
        <v>991</v>
      </c>
      <c r="B20" s="13"/>
      <c r="C20" s="12"/>
      <c r="E20" s="13"/>
    </row>
    <row r="21" spans="1:10">
      <c r="A21" s="13" t="s">
        <v>992</v>
      </c>
      <c r="B21" s="13"/>
      <c r="C21" s="12">
        <v>0</v>
      </c>
      <c r="E21" s="13"/>
    </row>
    <row r="22" spans="1:10">
      <c r="A22" s="13" t="s">
        <v>993</v>
      </c>
      <c r="B22" s="13"/>
      <c r="C22" s="141">
        <v>0</v>
      </c>
      <c r="E22" s="13"/>
    </row>
    <row r="23" spans="1:10">
      <c r="A23" s="13" t="s">
        <v>994</v>
      </c>
      <c r="B23" s="13"/>
      <c r="C23" s="141">
        <v>0</v>
      </c>
      <c r="E23" s="13"/>
    </row>
    <row r="24" spans="1:10">
      <c r="A24" s="13" t="s">
        <v>995</v>
      </c>
      <c r="B24" s="13"/>
      <c r="C24" s="13"/>
      <c r="E24" s="13"/>
      <c r="I24" s="344"/>
    </row>
    <row r="25" spans="1:10">
      <c r="A25" s="13" t="s">
        <v>996</v>
      </c>
      <c r="B25" s="13"/>
      <c r="C25" s="580">
        <f>+BS!F219</f>
        <v>0</v>
      </c>
      <c r="D25" s="26"/>
      <c r="E25" s="12">
        <f>SUM(C16:C25)</f>
        <v>0</v>
      </c>
      <c r="I25" s="344"/>
      <c r="J25" s="19"/>
    </row>
    <row r="26" spans="1:10">
      <c r="A26" s="13" t="s">
        <v>997</v>
      </c>
      <c r="B26" s="13"/>
      <c r="C26" s="13"/>
      <c r="E26" s="13"/>
      <c r="I26" s="344"/>
      <c r="J26" s="19"/>
    </row>
    <row r="27" spans="1:10" ht="13.5" thickBot="1">
      <c r="A27" s="350" t="s">
        <v>1151</v>
      </c>
      <c r="B27" s="13"/>
      <c r="C27" s="13"/>
      <c r="E27" s="581">
        <f>SUM(E13:E25)</f>
        <v>172929908.27999997</v>
      </c>
      <c r="F27" s="19">
        <f>+E27-BS!F228</f>
        <v>0</v>
      </c>
      <c r="I27" s="344"/>
      <c r="J27" s="19"/>
    </row>
    <row r="28" spans="1:10" ht="13.5" thickTop="1">
      <c r="A28" s="13"/>
      <c r="B28" s="13"/>
      <c r="C28" s="13"/>
      <c r="E28" s="16"/>
      <c r="F28" s="19"/>
      <c r="J28" s="19"/>
    </row>
    <row r="29" spans="1:10">
      <c r="E29" s="19"/>
      <c r="F29" s="19"/>
    </row>
    <row r="30" spans="1:10">
      <c r="E30" s="19"/>
      <c r="F30" s="19"/>
    </row>
    <row r="31" spans="1:10">
      <c r="A31" s="344"/>
      <c r="E31" s="19"/>
      <c r="F31" s="19"/>
    </row>
    <row r="32" spans="1:10">
      <c r="A32" s="344"/>
      <c r="C32" s="19"/>
      <c r="E32" s="19"/>
      <c r="F32" s="19"/>
    </row>
    <row r="33" spans="1:6">
      <c r="A33" s="344"/>
      <c r="B33" s="19"/>
      <c r="E33" s="19"/>
      <c r="F33" s="19"/>
    </row>
    <row r="34" spans="1:6">
      <c r="A34" s="344"/>
      <c r="B34" s="19"/>
      <c r="E34" s="19"/>
      <c r="F34" s="19"/>
    </row>
    <row r="35" spans="1:6">
      <c r="E35" s="19"/>
    </row>
    <row r="36" spans="1:6">
      <c r="A36" t="s">
        <v>998</v>
      </c>
    </row>
    <row r="37" spans="1:6">
      <c r="A37" t="s">
        <v>999</v>
      </c>
    </row>
    <row r="38" spans="1:6">
      <c r="A38" t="s">
        <v>1000</v>
      </c>
    </row>
    <row r="39" spans="1:6">
      <c r="A39" t="s">
        <v>1001</v>
      </c>
    </row>
  </sheetData>
  <mergeCells count="4">
    <mergeCell ref="A1:E1"/>
    <mergeCell ref="A2:E2"/>
    <mergeCell ref="A3:E3"/>
    <mergeCell ref="A4:E4"/>
  </mergeCells>
  <pageMargins left="1.06" right="0.24" top="1.53" bottom="0.75" header="0.3" footer="0.3"/>
  <pageSetup paperSize="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1"/>
  <sheetViews>
    <sheetView zoomScale="110" zoomScaleNormal="110" workbookViewId="0">
      <pane xSplit="6" ySplit="8" topLeftCell="G567" activePane="bottomRight" state="frozen"/>
      <selection pane="topRight" activeCell="G1" sqref="G1"/>
      <selection pane="bottomLeft" activeCell="A9" sqref="A9"/>
      <selection pane="bottomRight" activeCell="N569" sqref="N569:O586"/>
    </sheetView>
  </sheetViews>
  <sheetFormatPr defaultRowHeight="12.75"/>
  <cols>
    <col min="1" max="1" width="2.42578125" customWidth="1"/>
    <col min="2" max="2" width="3.140625" customWidth="1"/>
    <col min="3" max="3" width="3" customWidth="1"/>
    <col min="4" max="4" width="38.28515625" customWidth="1"/>
    <col min="5" max="5" width="7.85546875" customWidth="1"/>
    <col min="6" max="6" width="6.7109375" customWidth="1"/>
    <col min="7" max="7" width="15.28515625" customWidth="1"/>
    <col min="8" max="8" width="16" bestFit="1" customWidth="1"/>
    <col min="9" max="9" width="15.28515625" style="13" bestFit="1" customWidth="1"/>
    <col min="10" max="10" width="15" style="13" bestFit="1" customWidth="1"/>
    <col min="11" max="11" width="1.85546875" style="13" customWidth="1"/>
    <col min="12" max="12" width="15" style="13" bestFit="1" customWidth="1"/>
    <col min="13" max="13" width="3.7109375" style="13" customWidth="1"/>
    <col min="14" max="14" width="15.85546875" style="13" bestFit="1" customWidth="1"/>
    <col min="15" max="15" width="15.7109375" style="13" bestFit="1" customWidth="1"/>
    <col min="16" max="17" width="14" style="13" bestFit="1" customWidth="1"/>
    <col min="18" max="18" width="14.5703125" style="13" bestFit="1" customWidth="1"/>
    <col min="19" max="16384" width="9.140625" style="13"/>
  </cols>
  <sheetData>
    <row r="1" spans="1:15" ht="18">
      <c r="A1" s="734" t="s">
        <v>7</v>
      </c>
      <c r="B1" s="734"/>
      <c r="C1" s="734"/>
      <c r="D1" s="734"/>
      <c r="E1" s="734"/>
      <c r="F1" s="734"/>
      <c r="G1" s="734"/>
      <c r="H1" s="734"/>
      <c r="I1" s="215"/>
      <c r="J1" s="204"/>
      <c r="K1" s="204"/>
      <c r="L1" s="204"/>
      <c r="M1" s="215"/>
      <c r="N1" s="204"/>
      <c r="O1" s="204" t="s">
        <v>76</v>
      </c>
    </row>
    <row r="2" spans="1:15" ht="18">
      <c r="A2" s="734" t="s">
        <v>84</v>
      </c>
      <c r="B2" s="734"/>
      <c r="C2" s="734"/>
      <c r="D2" s="734"/>
      <c r="E2" s="734"/>
      <c r="F2" s="734"/>
      <c r="G2" s="734"/>
      <c r="H2" s="734"/>
      <c r="I2" s="215"/>
      <c r="J2" s="204"/>
      <c r="K2" s="204"/>
      <c r="L2" s="204"/>
      <c r="M2" s="215"/>
      <c r="N2" s="204"/>
      <c r="O2" s="204"/>
    </row>
    <row r="3" spans="1:15" ht="15.75">
      <c r="A3" s="735" t="s">
        <v>124</v>
      </c>
      <c r="B3" s="735"/>
      <c r="C3" s="735"/>
      <c r="D3" s="735"/>
      <c r="E3" s="735"/>
      <c r="F3" s="735"/>
      <c r="G3" s="735"/>
      <c r="H3" s="735"/>
      <c r="I3" s="215"/>
      <c r="J3" s="204"/>
      <c r="K3" s="204"/>
      <c r="L3" s="204"/>
      <c r="M3" s="215"/>
      <c r="N3" s="204"/>
      <c r="O3" s="204"/>
    </row>
    <row r="4" spans="1:15" ht="15.75">
      <c r="A4" s="736" t="str">
        <f>+TB!A4</f>
        <v>As of September 30, 2012</v>
      </c>
      <c r="B4" s="736"/>
      <c r="C4" s="736"/>
      <c r="D4" s="736"/>
      <c r="E4" s="736"/>
      <c r="F4" s="736"/>
      <c r="G4" s="736"/>
      <c r="H4" s="736"/>
      <c r="I4" s="588"/>
      <c r="J4" s="205"/>
      <c r="K4" s="205"/>
      <c r="L4" s="205"/>
      <c r="M4" s="215"/>
      <c r="N4" s="204"/>
      <c r="O4" s="204"/>
    </row>
    <row r="5" spans="1:15">
      <c r="A5" s="595"/>
      <c r="B5" s="595"/>
      <c r="C5" s="595"/>
      <c r="D5" s="595"/>
      <c r="E5" s="595"/>
      <c r="F5" s="595"/>
      <c r="G5" s="595"/>
      <c r="H5" s="595"/>
      <c r="I5" s="588"/>
      <c r="J5" s="205"/>
      <c r="K5" s="205"/>
      <c r="L5" s="205"/>
      <c r="M5" s="215"/>
      <c r="N5" s="204"/>
      <c r="O5" s="204"/>
    </row>
    <row r="6" spans="1:15">
      <c r="A6" s="231"/>
      <c r="B6" s="231"/>
      <c r="C6" s="231"/>
      <c r="D6" s="231"/>
      <c r="E6" s="448"/>
      <c r="F6" s="599"/>
      <c r="G6" s="231"/>
      <c r="H6" s="231"/>
      <c r="I6" s="215"/>
      <c r="J6" s="204"/>
      <c r="K6" s="204"/>
      <c r="L6" s="204"/>
      <c r="M6" s="215"/>
      <c r="N6" s="204"/>
      <c r="O6" s="204"/>
    </row>
    <row r="7" spans="1:15">
      <c r="A7" s="737" t="s">
        <v>125</v>
      </c>
      <c r="B7" s="737"/>
      <c r="C7" s="737"/>
      <c r="D7" s="737"/>
      <c r="E7" s="737" t="s">
        <v>9</v>
      </c>
      <c r="F7" s="737"/>
      <c r="G7" s="594" t="s">
        <v>126</v>
      </c>
      <c r="H7" s="594" t="s">
        <v>127</v>
      </c>
      <c r="I7" s="215"/>
      <c r="J7" s="204"/>
      <c r="K7" s="204"/>
      <c r="L7" s="204"/>
      <c r="M7" s="215"/>
      <c r="N7" s="204"/>
      <c r="O7" s="204"/>
    </row>
    <row r="8" spans="1:15">
      <c r="A8" s="206"/>
      <c r="B8" s="207"/>
      <c r="C8" s="207"/>
      <c r="D8" s="208"/>
      <c r="E8" s="209"/>
      <c r="F8" s="210"/>
      <c r="G8" s="211"/>
      <c r="H8" s="211"/>
      <c r="I8" s="215"/>
      <c r="J8" s="204" t="s">
        <v>187</v>
      </c>
      <c r="K8" s="204"/>
      <c r="L8" s="204" t="s">
        <v>188</v>
      </c>
      <c r="M8" s="215"/>
      <c r="N8" s="204"/>
      <c r="O8" s="204"/>
    </row>
    <row r="9" spans="1:15">
      <c r="A9" s="212" t="s">
        <v>19</v>
      </c>
      <c r="B9" s="214"/>
      <c r="C9" s="215"/>
      <c r="D9" s="216"/>
      <c r="E9" s="21">
        <v>101</v>
      </c>
      <c r="F9" s="210"/>
      <c r="G9" s="224">
        <f>+TB!C9</f>
        <v>1232016.4600000083</v>
      </c>
      <c r="H9" s="213"/>
      <c r="I9" s="215"/>
      <c r="J9" s="204"/>
      <c r="K9" s="204"/>
      <c r="L9" s="204"/>
      <c r="M9" s="215"/>
      <c r="N9" s="204"/>
      <c r="O9" s="204"/>
    </row>
    <row r="10" spans="1:15">
      <c r="A10" s="214"/>
      <c r="B10" s="350" t="s">
        <v>1050</v>
      </c>
      <c r="C10" s="215"/>
      <c r="D10" s="216"/>
      <c r="E10" s="21"/>
      <c r="F10" s="348" t="s">
        <v>128</v>
      </c>
      <c r="G10" s="545"/>
      <c r="H10" s="213">
        <f>+L10</f>
        <v>1217341.2600000077</v>
      </c>
      <c r="J10" s="204">
        <v>231215.25000000768</v>
      </c>
      <c r="K10" s="204"/>
      <c r="L10" s="204">
        <f>+J10+N10-O10</f>
        <v>1217341.2600000077</v>
      </c>
      <c r="M10" s="215"/>
      <c r="N10" s="590">
        <v>3364703.23</v>
      </c>
      <c r="O10" s="590">
        <v>2378577.2200000002</v>
      </c>
    </row>
    <row r="11" spans="1:15">
      <c r="A11" s="214"/>
      <c r="B11" s="350" t="s">
        <v>1046</v>
      </c>
      <c r="C11" s="215"/>
      <c r="D11" s="216"/>
      <c r="E11" s="21"/>
      <c r="F11" s="348" t="s">
        <v>129</v>
      </c>
      <c r="G11" s="224"/>
      <c r="H11" s="213">
        <f>+L11</f>
        <v>14675.200000000006</v>
      </c>
      <c r="I11" s="204"/>
      <c r="J11" s="204">
        <v>12064.770000000006</v>
      </c>
      <c r="K11" s="204"/>
      <c r="L11" s="204">
        <f>+J11+N11-O11</f>
        <v>14675.200000000006</v>
      </c>
      <c r="M11" s="215"/>
      <c r="N11" s="590">
        <v>2650.4300000000003</v>
      </c>
      <c r="O11" s="590">
        <v>40</v>
      </c>
    </row>
    <row r="12" spans="1:15">
      <c r="A12" s="214"/>
      <c r="B12" s="215"/>
      <c r="C12" s="215"/>
      <c r="D12" s="216"/>
      <c r="E12" s="21"/>
      <c r="F12" s="210"/>
      <c r="G12" s="224"/>
      <c r="H12" s="220">
        <f>SUM(H10:H11)</f>
        <v>1232016.4600000076</v>
      </c>
      <c r="I12" s="204">
        <f>+G9-H12</f>
        <v>0</v>
      </c>
      <c r="J12" s="204"/>
      <c r="K12" s="204"/>
      <c r="L12" s="204"/>
      <c r="M12" s="215"/>
      <c r="N12" s="223"/>
      <c r="O12" s="223"/>
    </row>
    <row r="13" spans="1:15" hidden="1">
      <c r="A13" s="214" t="s">
        <v>334</v>
      </c>
      <c r="B13" s="215"/>
      <c r="C13" s="215"/>
      <c r="D13" s="216"/>
      <c r="E13" s="21">
        <v>106</v>
      </c>
      <c r="F13" s="210"/>
      <c r="G13" s="224">
        <f>+TB!C12</f>
        <v>0</v>
      </c>
      <c r="H13" s="213"/>
      <c r="I13" s="204"/>
      <c r="J13" s="204"/>
      <c r="K13" s="204"/>
      <c r="L13" s="204"/>
      <c r="M13" s="215"/>
      <c r="N13" s="589"/>
      <c r="O13" s="590"/>
    </row>
    <row r="14" spans="1:15" hidden="1">
      <c r="A14" s="214"/>
      <c r="B14" s="350" t="s">
        <v>363</v>
      </c>
      <c r="C14" s="215"/>
      <c r="D14" s="216"/>
      <c r="E14" s="21"/>
      <c r="F14" s="348" t="s">
        <v>128</v>
      </c>
      <c r="G14" s="224"/>
      <c r="H14" s="213">
        <f>+L14</f>
        <v>0</v>
      </c>
      <c r="I14" s="204"/>
      <c r="J14" s="204">
        <v>0</v>
      </c>
      <c r="K14" s="204"/>
      <c r="L14" s="204">
        <f>+J14+N14-O14</f>
        <v>0</v>
      </c>
      <c r="M14" s="215"/>
      <c r="N14" s="589"/>
      <c r="O14" s="590"/>
    </row>
    <row r="15" spans="1:15" hidden="1">
      <c r="A15" s="214"/>
      <c r="B15" s="350" t="s">
        <v>1015</v>
      </c>
      <c r="C15" s="215"/>
      <c r="D15" s="216"/>
      <c r="E15" s="21"/>
      <c r="F15" s="348" t="s">
        <v>129</v>
      </c>
      <c r="G15" s="224"/>
      <c r="H15" s="213">
        <f>+L15</f>
        <v>0</v>
      </c>
      <c r="I15" s="204"/>
      <c r="J15" s="204">
        <v>0</v>
      </c>
      <c r="K15" s="204"/>
      <c r="L15" s="204">
        <f>+J15+N15-O15</f>
        <v>0</v>
      </c>
      <c r="M15" s="215"/>
      <c r="N15" s="589"/>
      <c r="O15" s="590"/>
    </row>
    <row r="16" spans="1:15" hidden="1">
      <c r="A16" s="214"/>
      <c r="B16" s="350" t="s">
        <v>283</v>
      </c>
      <c r="C16" s="215"/>
      <c r="D16" s="216"/>
      <c r="E16" s="21"/>
      <c r="F16" s="348" t="s">
        <v>132</v>
      </c>
      <c r="G16" s="224"/>
      <c r="H16" s="213">
        <f>+L16</f>
        <v>0</v>
      </c>
      <c r="I16" s="204"/>
      <c r="J16" s="204">
        <v>0</v>
      </c>
      <c r="K16" s="204"/>
      <c r="L16" s="204">
        <f>+J16+N16-O16</f>
        <v>0</v>
      </c>
      <c r="M16" s="215"/>
      <c r="N16" s="590"/>
      <c r="O16" s="590"/>
    </row>
    <row r="17" spans="1:16" ht="13.5" hidden="1" customHeight="1">
      <c r="A17" s="214"/>
      <c r="B17" s="215"/>
      <c r="C17" s="215"/>
      <c r="D17" s="216"/>
      <c r="E17" s="21"/>
      <c r="F17" s="210"/>
      <c r="G17" s="224"/>
      <c r="H17" s="220">
        <f>SUM(H14:H16)</f>
        <v>0</v>
      </c>
      <c r="I17" s="204">
        <f>+H17-G13</f>
        <v>0</v>
      </c>
      <c r="J17" s="204"/>
      <c r="K17" s="204"/>
      <c r="L17" s="204"/>
      <c r="M17" s="215"/>
      <c r="N17" s="589"/>
      <c r="O17" s="590"/>
    </row>
    <row r="18" spans="1:16">
      <c r="A18" s="214" t="s">
        <v>131</v>
      </c>
      <c r="B18" s="215"/>
      <c r="C18" s="215"/>
      <c r="D18" s="216"/>
      <c r="E18" s="21">
        <v>111</v>
      </c>
      <c r="F18" s="219"/>
      <c r="G18" s="224">
        <f>+TB!C13</f>
        <v>47969180.159999967</v>
      </c>
      <c r="H18" s="213"/>
      <c r="I18" s="215"/>
      <c r="J18" s="204">
        <v>0</v>
      </c>
      <c r="K18" s="204"/>
      <c r="L18" s="204">
        <f>+J18+N18-O18</f>
        <v>0</v>
      </c>
      <c r="M18" s="215"/>
      <c r="N18" s="591"/>
      <c r="O18" s="591"/>
    </row>
    <row r="19" spans="1:16">
      <c r="A19" s="214"/>
      <c r="B19" s="215" t="s">
        <v>430</v>
      </c>
      <c r="C19" s="215"/>
      <c r="D19" s="216"/>
      <c r="E19" s="21"/>
      <c r="F19" s="221" t="s">
        <v>128</v>
      </c>
      <c r="G19" s="545"/>
      <c r="H19" s="213">
        <f>+L19</f>
        <v>47969180.160000011</v>
      </c>
      <c r="I19" s="204">
        <f>+G18-H19</f>
        <v>0</v>
      </c>
      <c r="J19" s="204">
        <v>51078398.890000015</v>
      </c>
      <c r="K19" s="204"/>
      <c r="L19" s="204">
        <f>+J19+N19-O19</f>
        <v>47969180.160000011</v>
      </c>
      <c r="M19" s="215"/>
      <c r="N19" s="101">
        <v>2378577.2200000002</v>
      </c>
      <c r="O19" s="591">
        <v>5487795.9499999993</v>
      </c>
    </row>
    <row r="20" spans="1:16">
      <c r="A20" s="214"/>
      <c r="B20" s="215"/>
      <c r="C20" s="215"/>
      <c r="D20" s="216"/>
      <c r="E20" s="21"/>
      <c r="F20" s="221"/>
      <c r="G20" s="224"/>
      <c r="H20" s="213"/>
      <c r="I20" s="204"/>
      <c r="J20" s="204"/>
      <c r="K20" s="204"/>
      <c r="L20" s="204"/>
      <c r="M20" s="215"/>
      <c r="N20" s="368"/>
      <c r="O20" s="204"/>
    </row>
    <row r="21" spans="1:16">
      <c r="A21" s="214" t="s">
        <v>145</v>
      </c>
      <c r="B21" s="215"/>
      <c r="C21" s="215"/>
      <c r="D21" s="216"/>
      <c r="E21" s="21">
        <v>113</v>
      </c>
      <c r="F21" s="222"/>
      <c r="G21" s="224">
        <f>+TB!C15</f>
        <v>89327436.490000024</v>
      </c>
      <c r="H21" s="213"/>
      <c r="I21" s="215"/>
      <c r="J21" s="204">
        <v>0</v>
      </c>
      <c r="K21" s="204"/>
      <c r="L21" s="591">
        <f>+J21+N21-O21</f>
        <v>0</v>
      </c>
      <c r="M21" s="215"/>
      <c r="N21" s="204"/>
      <c r="O21" s="204"/>
    </row>
    <row r="22" spans="1:16">
      <c r="A22" s="214"/>
      <c r="B22" s="350" t="s">
        <v>509</v>
      </c>
      <c r="C22" s="215"/>
      <c r="D22" s="216"/>
      <c r="E22" s="21"/>
      <c r="F22" s="374" t="s">
        <v>128</v>
      </c>
      <c r="G22" s="224"/>
      <c r="H22" s="213"/>
      <c r="I22" s="215"/>
      <c r="J22" s="204"/>
      <c r="K22" s="204"/>
      <c r="L22" s="591"/>
      <c r="M22" s="215"/>
      <c r="N22" s="204"/>
      <c r="O22" s="204"/>
    </row>
    <row r="23" spans="1:16">
      <c r="A23" s="214"/>
      <c r="B23" s="215"/>
      <c r="C23" s="215" t="s">
        <v>159</v>
      </c>
      <c r="D23" s="216"/>
      <c r="E23" s="21"/>
      <c r="F23" s="360" t="s">
        <v>128</v>
      </c>
      <c r="G23" s="545"/>
      <c r="H23" s="552">
        <f t="shared" ref="H23:H32" si="0">+L23</f>
        <v>2625407.7800000012</v>
      </c>
      <c r="I23" s="226"/>
      <c r="J23" s="223">
        <v>2621911.8900000011</v>
      </c>
      <c r="K23" s="223"/>
      <c r="L23" s="101">
        <f t="shared" ref="L23:L32" si="1">+J23+N23-O23</f>
        <v>2625407.7800000012</v>
      </c>
      <c r="M23" s="215"/>
      <c r="N23" s="204">
        <v>3495.89</v>
      </c>
      <c r="O23" s="204">
        <v>0</v>
      </c>
      <c r="P23" s="16"/>
    </row>
    <row r="24" spans="1:16">
      <c r="A24" s="214"/>
      <c r="B24" s="215"/>
      <c r="C24" s="105" t="s">
        <v>475</v>
      </c>
      <c r="D24" s="216"/>
      <c r="E24" s="21"/>
      <c r="F24" s="360" t="s">
        <v>129</v>
      </c>
      <c r="G24" s="545"/>
      <c r="H24" s="552">
        <f t="shared" si="0"/>
        <v>5545587.3899999997</v>
      </c>
      <c r="I24" s="226"/>
      <c r="J24" s="223">
        <v>5538203.1200000001</v>
      </c>
      <c r="K24" s="223"/>
      <c r="L24" s="101">
        <f>+J24+N24-O24</f>
        <v>5545587.3899999997</v>
      </c>
      <c r="M24" s="215"/>
      <c r="N24" s="204">
        <v>7384.27</v>
      </c>
      <c r="O24" s="204">
        <v>0</v>
      </c>
    </row>
    <row r="25" spans="1:16">
      <c r="A25" s="214"/>
      <c r="B25" s="215"/>
      <c r="C25" s="105"/>
      <c r="D25" s="216"/>
      <c r="E25" s="21"/>
      <c r="F25" s="360"/>
      <c r="G25" s="545"/>
      <c r="H25" s="552"/>
      <c r="I25" s="226"/>
      <c r="J25" s="223"/>
      <c r="K25" s="223"/>
      <c r="L25" s="101"/>
      <c r="M25" s="215"/>
      <c r="N25" s="204"/>
      <c r="O25" s="204"/>
    </row>
    <row r="26" spans="1:16">
      <c r="A26" s="214"/>
      <c r="B26" s="105" t="s">
        <v>510</v>
      </c>
      <c r="C26" s="215"/>
      <c r="D26" s="216"/>
      <c r="E26" s="21"/>
      <c r="F26" s="374" t="s">
        <v>129</v>
      </c>
      <c r="G26" s="545"/>
      <c r="H26" s="552"/>
      <c r="I26" s="215"/>
      <c r="J26" s="223"/>
      <c r="K26" s="223"/>
      <c r="L26" s="101"/>
      <c r="M26" s="215"/>
      <c r="N26" s="204"/>
      <c r="O26" s="204"/>
    </row>
    <row r="27" spans="1:16">
      <c r="A27" s="214"/>
      <c r="B27" s="215"/>
      <c r="C27" s="105" t="s">
        <v>1008</v>
      </c>
      <c r="D27" s="216"/>
      <c r="E27" s="21"/>
      <c r="F27" s="360" t="s">
        <v>128</v>
      </c>
      <c r="G27" s="545"/>
      <c r="H27" s="552">
        <f t="shared" si="0"/>
        <v>13249949.610000003</v>
      </c>
      <c r="I27" s="226"/>
      <c r="J27" s="223">
        <v>13232306.540000003</v>
      </c>
      <c r="K27" s="223"/>
      <c r="L27" s="101">
        <f t="shared" si="1"/>
        <v>13249949.610000003</v>
      </c>
      <c r="M27" s="215"/>
      <c r="N27" s="368">
        <v>17643.07</v>
      </c>
      <c r="O27" s="204">
        <v>0</v>
      </c>
    </row>
    <row r="28" spans="1:16">
      <c r="A28" s="214"/>
      <c r="B28" s="215"/>
      <c r="C28" s="105" t="s">
        <v>1009</v>
      </c>
      <c r="D28" s="216"/>
      <c r="E28" s="21"/>
      <c r="F28" s="360" t="s">
        <v>129</v>
      </c>
      <c r="G28" s="545"/>
      <c r="H28" s="552">
        <f t="shared" si="0"/>
        <v>10774302.859999998</v>
      </c>
      <c r="I28" s="226"/>
      <c r="J28" s="223">
        <v>10759956.249999998</v>
      </c>
      <c r="K28" s="223"/>
      <c r="L28" s="101">
        <f t="shared" si="1"/>
        <v>10774302.859999998</v>
      </c>
      <c r="M28" s="215"/>
      <c r="N28" s="368">
        <v>14346.61</v>
      </c>
      <c r="O28" s="204">
        <v>0</v>
      </c>
    </row>
    <row r="29" spans="1:16">
      <c r="A29" s="214"/>
      <c r="B29" s="215"/>
      <c r="C29" s="105" t="s">
        <v>1010</v>
      </c>
      <c r="D29" s="216"/>
      <c r="E29" s="21"/>
      <c r="F29" s="360" t="s">
        <v>132</v>
      </c>
      <c r="G29" s="545"/>
      <c r="H29" s="552">
        <f t="shared" si="0"/>
        <v>10774302.859999998</v>
      </c>
      <c r="I29" s="226"/>
      <c r="J29" s="223">
        <v>10759956.249999998</v>
      </c>
      <c r="K29" s="223"/>
      <c r="L29" s="101">
        <f t="shared" si="1"/>
        <v>10774302.859999998</v>
      </c>
      <c r="M29" s="215"/>
      <c r="N29" s="368">
        <v>14346.61</v>
      </c>
      <c r="O29" s="204">
        <v>0</v>
      </c>
    </row>
    <row r="30" spans="1:16">
      <c r="A30" s="214"/>
      <c r="B30" s="215"/>
      <c r="C30" s="105" t="s">
        <v>1011</v>
      </c>
      <c r="D30" s="216"/>
      <c r="E30" s="21"/>
      <c r="F30" s="360" t="s">
        <v>133</v>
      </c>
      <c r="G30" s="545"/>
      <c r="H30" s="552">
        <f t="shared" si="0"/>
        <v>10509260.15</v>
      </c>
      <c r="I30" s="226"/>
      <c r="J30" s="223">
        <v>10509260.15</v>
      </c>
      <c r="K30" s="223"/>
      <c r="L30" s="101">
        <f t="shared" si="1"/>
        <v>10509260.15</v>
      </c>
      <c r="M30" s="215"/>
      <c r="N30" s="368">
        <v>0</v>
      </c>
      <c r="O30" s="204">
        <v>0</v>
      </c>
    </row>
    <row r="31" spans="1:16">
      <c r="A31" s="214"/>
      <c r="B31" s="215"/>
      <c r="C31" s="105" t="s">
        <v>1012</v>
      </c>
      <c r="D31" s="216"/>
      <c r="E31" s="21"/>
      <c r="F31" s="360" t="s">
        <v>134</v>
      </c>
      <c r="G31" s="545"/>
      <c r="H31" s="552">
        <f t="shared" si="0"/>
        <v>15713149.170000004</v>
      </c>
      <c r="I31" s="226"/>
      <c r="J31" s="223">
        <v>15692226.200000003</v>
      </c>
      <c r="K31" s="223"/>
      <c r="L31" s="101">
        <f t="shared" si="1"/>
        <v>15713149.170000004</v>
      </c>
      <c r="M31" s="215"/>
      <c r="N31" s="368">
        <v>20922.97</v>
      </c>
      <c r="O31" s="204">
        <v>0</v>
      </c>
    </row>
    <row r="32" spans="1:16">
      <c r="A32" s="214"/>
      <c r="B32" s="215"/>
      <c r="C32" s="105" t="s">
        <v>1120</v>
      </c>
      <c r="D32" s="216"/>
      <c r="E32" s="21"/>
      <c r="F32" s="360" t="s">
        <v>135</v>
      </c>
      <c r="G32" s="545"/>
      <c r="H32" s="552">
        <f t="shared" si="0"/>
        <v>20135476.670000002</v>
      </c>
      <c r="I32" s="226"/>
      <c r="J32" s="223">
        <v>20107772.630000003</v>
      </c>
      <c r="K32" s="223"/>
      <c r="L32" s="101">
        <f t="shared" si="1"/>
        <v>20135476.670000002</v>
      </c>
      <c r="M32" s="215"/>
      <c r="N32" s="368">
        <v>27704.04</v>
      </c>
      <c r="O32" s="204">
        <v>0</v>
      </c>
    </row>
    <row r="33" spans="1:18">
      <c r="A33" s="214"/>
      <c r="B33" s="215"/>
      <c r="C33" s="215"/>
      <c r="D33" s="216"/>
      <c r="E33" s="21"/>
      <c r="F33" s="222"/>
      <c r="G33" s="545"/>
      <c r="H33" s="220">
        <f>SUM(H23:H32)</f>
        <v>89327436.49000001</v>
      </c>
      <c r="I33" s="226">
        <f>+G21-H33</f>
        <v>0</v>
      </c>
      <c r="J33" s="204">
        <v>0</v>
      </c>
      <c r="K33" s="204"/>
      <c r="L33" s="591">
        <f>+J33+N33-O33</f>
        <v>0</v>
      </c>
      <c r="M33" s="215"/>
      <c r="N33" s="204"/>
      <c r="O33" s="204"/>
    </row>
    <row r="34" spans="1:18">
      <c r="A34" s="214"/>
      <c r="B34" s="215"/>
      <c r="C34" s="215"/>
      <c r="D34" s="216"/>
      <c r="E34" s="21"/>
      <c r="F34" s="222"/>
      <c r="G34" s="224"/>
      <c r="H34" s="213"/>
      <c r="I34" s="226"/>
      <c r="J34" s="204"/>
      <c r="K34" s="204"/>
      <c r="L34" s="591"/>
      <c r="M34" s="215"/>
      <c r="N34" s="204"/>
      <c r="O34" s="204"/>
    </row>
    <row r="35" spans="1:18">
      <c r="A35" s="214" t="s">
        <v>22</v>
      </c>
      <c r="B35" s="215"/>
      <c r="C35" s="215"/>
      <c r="D35" s="216"/>
      <c r="E35" s="21">
        <v>123</v>
      </c>
      <c r="F35" s="210"/>
      <c r="G35" s="224">
        <f>+TB!C21</f>
        <v>733.58</v>
      </c>
      <c r="H35" s="217"/>
      <c r="I35" s="215"/>
      <c r="J35" s="204">
        <v>0</v>
      </c>
      <c r="K35" s="204"/>
      <c r="L35" s="204">
        <f>+J35+N35-O35</f>
        <v>0</v>
      </c>
      <c r="M35" s="215"/>
      <c r="N35" s="204"/>
      <c r="O35" s="204"/>
    </row>
    <row r="36" spans="1:18">
      <c r="A36" s="214"/>
      <c r="B36" s="350" t="s">
        <v>951</v>
      </c>
      <c r="C36" s="218"/>
      <c r="D36" s="216"/>
      <c r="E36" s="23"/>
      <c r="F36" s="22" t="s">
        <v>128</v>
      </c>
      <c r="G36" s="224"/>
      <c r="H36" s="213"/>
      <c r="I36" s="215"/>
      <c r="J36" s="224"/>
      <c r="K36" s="224"/>
      <c r="L36" s="204"/>
      <c r="M36" s="215"/>
      <c r="N36" s="204"/>
      <c r="O36" s="204"/>
    </row>
    <row r="37" spans="1:18">
      <c r="A37" s="214"/>
      <c r="B37" s="215"/>
      <c r="C37" s="218" t="s">
        <v>331</v>
      </c>
      <c r="D37" s="216"/>
      <c r="E37" s="23"/>
      <c r="F37" s="348" t="s">
        <v>128</v>
      </c>
      <c r="G37" s="224"/>
      <c r="H37" s="213">
        <f>+L37</f>
        <v>99.12</v>
      </c>
      <c r="I37" s="215"/>
      <c r="J37" s="224">
        <v>99.12</v>
      </c>
      <c r="K37" s="224"/>
      <c r="L37" s="204">
        <f>+J37+N37-O37</f>
        <v>99.12</v>
      </c>
      <c r="M37" s="215"/>
      <c r="N37" s="204"/>
      <c r="O37" s="204"/>
    </row>
    <row r="38" spans="1:18">
      <c r="A38" s="214"/>
      <c r="B38" s="215"/>
      <c r="C38" s="218" t="s">
        <v>375</v>
      </c>
      <c r="D38" s="216"/>
      <c r="E38" s="23"/>
      <c r="F38" s="348" t="s">
        <v>129</v>
      </c>
      <c r="G38" s="224"/>
      <c r="H38" s="213">
        <f>+L38</f>
        <v>137.9</v>
      </c>
      <c r="I38" s="226"/>
      <c r="J38" s="224">
        <v>137.9</v>
      </c>
      <c r="K38" s="224"/>
      <c r="L38" s="204">
        <f>+J38+N38-O38</f>
        <v>137.9</v>
      </c>
      <c r="M38" s="215"/>
      <c r="N38" s="204"/>
      <c r="O38" s="204"/>
    </row>
    <row r="39" spans="1:18">
      <c r="A39" s="214"/>
      <c r="B39" s="215"/>
      <c r="C39" s="218" t="s">
        <v>332</v>
      </c>
      <c r="D39" s="216"/>
      <c r="E39" s="23"/>
      <c r="F39" s="348" t="s">
        <v>132</v>
      </c>
      <c r="G39" s="224"/>
      <c r="H39" s="213">
        <f>+L39</f>
        <v>99.12</v>
      </c>
      <c r="I39" s="215"/>
      <c r="J39" s="224">
        <v>99.12</v>
      </c>
      <c r="K39" s="224"/>
      <c r="L39" s="204">
        <f>+J39+N39-O39</f>
        <v>99.12</v>
      </c>
      <c r="M39" s="215"/>
      <c r="N39" s="204"/>
      <c r="O39" s="204"/>
    </row>
    <row r="40" spans="1:18">
      <c r="A40" s="214"/>
      <c r="B40" s="215"/>
      <c r="C40" s="218" t="s">
        <v>333</v>
      </c>
      <c r="D40" s="216"/>
      <c r="E40" s="23"/>
      <c r="F40" s="348" t="s">
        <v>133</v>
      </c>
      <c r="G40" s="224"/>
      <c r="H40" s="213">
        <f>+L40</f>
        <v>397.44</v>
      </c>
      <c r="I40" s="215"/>
      <c r="J40" s="224">
        <v>397.44</v>
      </c>
      <c r="K40" s="224"/>
      <c r="L40" s="204">
        <f>+J40+N40-O40</f>
        <v>397.44</v>
      </c>
      <c r="M40" s="215"/>
      <c r="N40" s="204"/>
      <c r="O40" s="204"/>
    </row>
    <row r="41" spans="1:18">
      <c r="A41" s="214"/>
      <c r="B41" s="215"/>
      <c r="C41" s="215"/>
      <c r="D41" s="216"/>
      <c r="E41" s="23"/>
      <c r="F41" s="219"/>
      <c r="G41" s="224"/>
      <c r="H41" s="220">
        <f>SUM(H37:H40)</f>
        <v>733.57999999999993</v>
      </c>
      <c r="I41" s="226">
        <f>+G35-H41</f>
        <v>0</v>
      </c>
      <c r="J41" s="204"/>
      <c r="K41" s="224"/>
      <c r="L41" s="204"/>
      <c r="M41" s="215"/>
      <c r="N41" s="204"/>
      <c r="O41" s="204"/>
    </row>
    <row r="42" spans="1:18">
      <c r="A42" s="214"/>
      <c r="B42" s="215"/>
      <c r="C42" s="215"/>
      <c r="D42" s="216"/>
      <c r="E42" s="21"/>
      <c r="F42" s="222"/>
      <c r="G42" s="224"/>
      <c r="H42" s="210"/>
      <c r="I42" s="226"/>
      <c r="J42" s="204"/>
      <c r="K42" s="204"/>
      <c r="L42" s="204"/>
      <c r="M42" s="215"/>
      <c r="N42" s="204"/>
      <c r="O42" s="204"/>
    </row>
    <row r="43" spans="1:18">
      <c r="A43" s="214" t="s">
        <v>167</v>
      </c>
      <c r="B43" s="215"/>
      <c r="C43" s="215"/>
      <c r="D43" s="216"/>
      <c r="E43" s="21">
        <v>128</v>
      </c>
      <c r="F43" s="222"/>
      <c r="G43" s="224">
        <f>+TB!C26</f>
        <v>11864007.119999968</v>
      </c>
      <c r="H43" s="213"/>
      <c r="I43" s="215"/>
      <c r="J43" s="204">
        <v>0</v>
      </c>
      <c r="K43" s="204"/>
      <c r="L43" s="204">
        <f>+J43+N43-O43</f>
        <v>0</v>
      </c>
      <c r="M43" s="215"/>
      <c r="N43" s="204"/>
      <c r="O43" s="204"/>
    </row>
    <row r="44" spans="1:18">
      <c r="A44" s="214"/>
      <c r="B44" s="350" t="s">
        <v>1098</v>
      </c>
      <c r="C44" s="215"/>
      <c r="D44" s="216"/>
      <c r="E44" s="21"/>
      <c r="F44" s="573" t="s">
        <v>128</v>
      </c>
      <c r="G44" s="224"/>
      <c r="H44" s="213"/>
      <c r="I44" s="215"/>
      <c r="J44" s="204"/>
      <c r="K44" s="204"/>
      <c r="L44" s="204"/>
      <c r="M44" s="215"/>
      <c r="N44" s="204"/>
      <c r="O44" s="204"/>
    </row>
    <row r="45" spans="1:18">
      <c r="A45" s="214"/>
      <c r="B45" s="13"/>
      <c r="C45" s="350" t="s">
        <v>1018</v>
      </c>
      <c r="D45" s="216"/>
      <c r="E45" s="21"/>
      <c r="F45" s="360" t="s">
        <v>132</v>
      </c>
      <c r="G45" s="224"/>
      <c r="H45" s="213">
        <f t="shared" ref="H45:H57" si="2">+L45</f>
        <v>21363.090000000026</v>
      </c>
      <c r="I45" s="215"/>
      <c r="J45" s="204">
        <v>21363.090000000026</v>
      </c>
      <c r="K45" s="204"/>
      <c r="L45" s="204">
        <f t="shared" ref="L45:L57" si="3">+J45+N45-O45</f>
        <v>21363.090000000026</v>
      </c>
      <c r="M45" s="215"/>
      <c r="N45" s="204"/>
      <c r="O45" s="204"/>
      <c r="P45" s="16"/>
      <c r="Q45" s="16"/>
      <c r="R45" s="16"/>
    </row>
    <row r="46" spans="1:18">
      <c r="A46" s="214"/>
      <c r="B46" s="13"/>
      <c r="C46" s="350" t="s">
        <v>1019</v>
      </c>
      <c r="D46" s="216"/>
      <c r="E46" s="21"/>
      <c r="F46" s="360" t="s">
        <v>133</v>
      </c>
      <c r="G46" s="224"/>
      <c r="H46" s="213">
        <f t="shared" si="2"/>
        <v>54975.74</v>
      </c>
      <c r="I46" s="215"/>
      <c r="J46" s="204">
        <v>55302.54</v>
      </c>
      <c r="K46" s="204"/>
      <c r="L46" s="204">
        <f t="shared" si="3"/>
        <v>54975.74</v>
      </c>
      <c r="M46" s="215"/>
      <c r="N46" s="204"/>
      <c r="O46" s="204">
        <v>326.8</v>
      </c>
      <c r="P46" s="16"/>
      <c r="Q46" s="16"/>
      <c r="R46" s="16"/>
    </row>
    <row r="47" spans="1:18">
      <c r="A47" s="214"/>
      <c r="B47" s="13"/>
      <c r="C47" s="350" t="s">
        <v>1020</v>
      </c>
      <c r="D47" s="216"/>
      <c r="E47" s="21"/>
      <c r="F47" s="360" t="s">
        <v>134</v>
      </c>
      <c r="G47" s="224"/>
      <c r="H47" s="213">
        <f t="shared" si="2"/>
        <v>131163.13000000015</v>
      </c>
      <c r="I47" s="215"/>
      <c r="J47" s="204">
        <v>138967.33000000016</v>
      </c>
      <c r="K47" s="204"/>
      <c r="L47" s="204">
        <f t="shared" si="3"/>
        <v>131163.13000000015</v>
      </c>
      <c r="M47" s="215"/>
      <c r="N47" s="204"/>
      <c r="O47" s="204">
        <v>7804.1999999999989</v>
      </c>
      <c r="P47" s="16"/>
      <c r="Q47" s="16"/>
      <c r="R47" s="16"/>
    </row>
    <row r="48" spans="1:18">
      <c r="A48" s="214"/>
      <c r="B48" s="13"/>
      <c r="C48" s="350" t="s">
        <v>1023</v>
      </c>
      <c r="D48" s="216"/>
      <c r="E48" s="21"/>
      <c r="F48" s="360" t="s">
        <v>136</v>
      </c>
      <c r="G48" s="224"/>
      <c r="H48" s="213">
        <f t="shared" si="2"/>
        <v>33373.12000000001</v>
      </c>
      <c r="I48" s="215"/>
      <c r="J48" s="204">
        <v>33889.520000000011</v>
      </c>
      <c r="K48" s="204"/>
      <c r="L48" s="204">
        <f t="shared" si="3"/>
        <v>33373.12000000001</v>
      </c>
      <c r="M48" s="215"/>
      <c r="N48" s="204"/>
      <c r="O48" s="204">
        <v>516.4</v>
      </c>
      <c r="P48" s="16"/>
      <c r="Q48" s="16"/>
      <c r="R48" s="16"/>
    </row>
    <row r="49" spans="1:18">
      <c r="A49" s="214"/>
      <c r="B49" s="13"/>
      <c r="C49" s="350" t="s">
        <v>1025</v>
      </c>
      <c r="D49" s="216"/>
      <c r="E49" s="21"/>
      <c r="F49" s="360" t="s">
        <v>138</v>
      </c>
      <c r="G49" s="224"/>
      <c r="H49" s="213">
        <f t="shared" si="2"/>
        <v>0</v>
      </c>
      <c r="I49" s="215"/>
      <c r="J49" s="204">
        <v>0</v>
      </c>
      <c r="K49" s="204"/>
      <c r="L49" s="204">
        <f t="shared" si="3"/>
        <v>0</v>
      </c>
      <c r="M49" s="215"/>
      <c r="N49" s="204"/>
      <c r="O49" s="204"/>
      <c r="P49" s="16"/>
      <c r="Q49" s="16"/>
      <c r="R49" s="16"/>
    </row>
    <row r="50" spans="1:18">
      <c r="A50" s="214"/>
      <c r="B50" s="13"/>
      <c r="C50" s="350" t="s">
        <v>1027</v>
      </c>
      <c r="D50" s="216"/>
      <c r="E50" s="21"/>
      <c r="F50" s="360" t="s">
        <v>140</v>
      </c>
      <c r="G50" s="224"/>
      <c r="H50" s="213">
        <f t="shared" si="2"/>
        <v>0</v>
      </c>
      <c r="I50" s="226"/>
      <c r="J50" s="204">
        <v>0</v>
      </c>
      <c r="K50" s="204"/>
      <c r="L50" s="204">
        <f t="shared" si="3"/>
        <v>0</v>
      </c>
      <c r="M50" s="215"/>
      <c r="N50" s="204"/>
      <c r="O50" s="204"/>
      <c r="P50" s="16"/>
      <c r="Q50" s="16"/>
      <c r="R50" s="16"/>
    </row>
    <row r="51" spans="1:18">
      <c r="A51" s="214"/>
      <c r="B51" s="13"/>
      <c r="C51" s="350" t="s">
        <v>1028</v>
      </c>
      <c r="D51" s="216"/>
      <c r="E51" s="21"/>
      <c r="F51" s="360" t="s">
        <v>141</v>
      </c>
      <c r="G51" s="224"/>
      <c r="H51" s="213">
        <f t="shared" si="2"/>
        <v>361457.84</v>
      </c>
      <c r="I51" s="215"/>
      <c r="J51" s="204">
        <v>361694.84</v>
      </c>
      <c r="K51" s="204"/>
      <c r="L51" s="204">
        <f t="shared" si="3"/>
        <v>361457.84</v>
      </c>
      <c r="M51" s="215"/>
      <c r="N51" s="204"/>
      <c r="O51" s="204">
        <v>237.00000000000003</v>
      </c>
      <c r="P51" s="16"/>
      <c r="Q51" s="16"/>
      <c r="R51" s="16"/>
    </row>
    <row r="52" spans="1:18">
      <c r="A52" s="214"/>
      <c r="B52" s="13"/>
      <c r="C52" s="350" t="s">
        <v>1029</v>
      </c>
      <c r="D52" s="216"/>
      <c r="E52" s="21"/>
      <c r="F52" s="360" t="s">
        <v>142</v>
      </c>
      <c r="G52" s="224"/>
      <c r="H52" s="213">
        <f t="shared" si="2"/>
        <v>4.0927261579781771E-12</v>
      </c>
      <c r="I52" s="215"/>
      <c r="J52" s="204">
        <v>4.0927261579781771E-12</v>
      </c>
      <c r="K52" s="204"/>
      <c r="L52" s="204">
        <f t="shared" si="3"/>
        <v>4.0927261579781771E-12</v>
      </c>
      <c r="M52" s="215"/>
      <c r="N52" s="204"/>
      <c r="O52" s="204"/>
      <c r="P52" s="16"/>
      <c r="Q52" s="16"/>
      <c r="R52" s="16"/>
    </row>
    <row r="53" spans="1:18">
      <c r="A53" s="214"/>
      <c r="B53" s="13"/>
      <c r="C53" s="350" t="s">
        <v>1034</v>
      </c>
      <c r="D53" s="216"/>
      <c r="E53" s="21"/>
      <c r="F53" s="360" t="s">
        <v>148</v>
      </c>
      <c r="G53" s="224"/>
      <c r="H53" s="213">
        <f t="shared" si="2"/>
        <v>31482.570000000007</v>
      </c>
      <c r="I53" s="215"/>
      <c r="J53" s="204">
        <v>31482.570000000007</v>
      </c>
      <c r="K53" s="204"/>
      <c r="L53" s="204">
        <f t="shared" si="3"/>
        <v>31482.570000000007</v>
      </c>
      <c r="M53" s="215"/>
      <c r="N53" s="601"/>
      <c r="O53" s="204"/>
      <c r="P53" s="16"/>
      <c r="Q53" s="16"/>
      <c r="R53" s="16"/>
    </row>
    <row r="54" spans="1:18">
      <c r="A54" s="214"/>
      <c r="B54" s="13"/>
      <c r="C54" s="350" t="s">
        <v>1036</v>
      </c>
      <c r="D54" s="216"/>
      <c r="E54" s="21"/>
      <c r="F54" s="360" t="s">
        <v>150</v>
      </c>
      <c r="G54" s="224"/>
      <c r="H54" s="213">
        <f t="shared" si="2"/>
        <v>44966.080000000002</v>
      </c>
      <c r="I54" s="215"/>
      <c r="J54" s="204">
        <v>44966.080000000002</v>
      </c>
      <c r="K54" s="204"/>
      <c r="L54" s="204">
        <f t="shared" si="3"/>
        <v>44966.080000000002</v>
      </c>
      <c r="M54" s="215"/>
      <c r="N54" s="204"/>
      <c r="O54" s="204"/>
      <c r="P54" s="16"/>
      <c r="Q54" s="16"/>
      <c r="R54" s="16"/>
    </row>
    <row r="55" spans="1:18">
      <c r="A55" s="214"/>
      <c r="B55" s="13"/>
      <c r="C55" s="350" t="s">
        <v>1037</v>
      </c>
      <c r="D55" s="216"/>
      <c r="E55" s="21"/>
      <c r="F55" s="360" t="s">
        <v>151</v>
      </c>
      <c r="G55" s="224"/>
      <c r="H55" s="213">
        <f t="shared" si="2"/>
        <v>1228594.5299999993</v>
      </c>
      <c r="I55" s="215"/>
      <c r="J55" s="204">
        <v>1228602.1299999994</v>
      </c>
      <c r="K55" s="204"/>
      <c r="L55" s="204">
        <f t="shared" si="3"/>
        <v>1228594.5299999993</v>
      </c>
      <c r="M55" s="215"/>
      <c r="N55" s="601"/>
      <c r="O55" s="204">
        <v>7.6</v>
      </c>
      <c r="P55" s="16"/>
      <c r="Q55" s="16"/>
      <c r="R55" s="16"/>
    </row>
    <row r="56" spans="1:18">
      <c r="A56" s="214"/>
      <c r="B56" s="13"/>
      <c r="C56" s="350" t="s">
        <v>1040</v>
      </c>
      <c r="D56" s="216"/>
      <c r="E56" s="21"/>
      <c r="F56" s="360" t="s">
        <v>1044</v>
      </c>
      <c r="G56" s="224"/>
      <c r="H56" s="213">
        <f t="shared" si="2"/>
        <v>122804.22999999998</v>
      </c>
      <c r="I56" s="215"/>
      <c r="J56" s="204">
        <v>123018.92999999998</v>
      </c>
      <c r="K56" s="204"/>
      <c r="L56" s="204">
        <f t="shared" si="3"/>
        <v>122804.22999999998</v>
      </c>
      <c r="M56" s="215"/>
      <c r="N56" s="204"/>
      <c r="O56" s="204">
        <v>214.70000000000002</v>
      </c>
      <c r="P56" s="16"/>
      <c r="Q56" s="16"/>
      <c r="R56" s="16"/>
    </row>
    <row r="57" spans="1:18">
      <c r="A57" s="214"/>
      <c r="B57" s="13"/>
      <c r="C57" s="350" t="s">
        <v>1041</v>
      </c>
      <c r="D57" s="216"/>
      <c r="E57" s="21"/>
      <c r="F57" s="360" t="s">
        <v>1045</v>
      </c>
      <c r="G57" s="224"/>
      <c r="H57" s="213">
        <f t="shared" si="2"/>
        <v>54699.499999999993</v>
      </c>
      <c r="I57" s="215"/>
      <c r="J57" s="204">
        <v>54808.299999999996</v>
      </c>
      <c r="K57" s="204"/>
      <c r="L57" s="204">
        <f t="shared" si="3"/>
        <v>54699.499999999993</v>
      </c>
      <c r="M57" s="215"/>
      <c r="N57" s="204"/>
      <c r="O57" s="204">
        <v>108.8</v>
      </c>
      <c r="P57" s="16"/>
      <c r="Q57" s="16"/>
      <c r="R57" s="16"/>
    </row>
    <row r="58" spans="1:18">
      <c r="A58" s="214"/>
      <c r="B58" s="105" t="s">
        <v>1100</v>
      </c>
      <c r="C58" s="215"/>
      <c r="D58" s="216"/>
      <c r="E58" s="21"/>
      <c r="F58" s="573" t="s">
        <v>129</v>
      </c>
      <c r="G58" s="224"/>
      <c r="H58" s="213"/>
      <c r="I58" s="215"/>
      <c r="J58" s="204"/>
      <c r="K58" s="204"/>
      <c r="L58" s="204"/>
      <c r="M58" s="215"/>
      <c r="N58" s="204"/>
      <c r="O58" s="204"/>
      <c r="P58" s="16"/>
      <c r="Q58" s="16"/>
      <c r="R58" s="16"/>
    </row>
    <row r="59" spans="1:18">
      <c r="A59" s="214"/>
      <c r="B59" s="13"/>
      <c r="C59" s="105" t="s">
        <v>1016</v>
      </c>
      <c r="D59" s="216"/>
      <c r="E59" s="21"/>
      <c r="F59" s="360" t="s">
        <v>128</v>
      </c>
      <c r="G59" s="224"/>
      <c r="H59" s="213">
        <f t="shared" ref="H59:H84" si="4">+L59</f>
        <v>0</v>
      </c>
      <c r="I59" s="215"/>
      <c r="J59" s="204">
        <v>103082.82000000011</v>
      </c>
      <c r="K59" s="204"/>
      <c r="L59" s="204">
        <f t="shared" ref="L59:L65" si="5">+J59+N59-O59</f>
        <v>0</v>
      </c>
      <c r="M59" s="215"/>
      <c r="N59" s="204">
        <v>85084.82</v>
      </c>
      <c r="O59" s="204">
        <v>188167.64</v>
      </c>
      <c r="P59" s="16"/>
      <c r="Q59" s="16"/>
      <c r="R59" s="16"/>
    </row>
    <row r="60" spans="1:18">
      <c r="A60" s="214"/>
      <c r="B60" s="13"/>
      <c r="C60" s="105" t="s">
        <v>1017</v>
      </c>
      <c r="D60" s="216"/>
      <c r="E60" s="21"/>
      <c r="F60" s="360" t="s">
        <v>129</v>
      </c>
      <c r="G60" s="224"/>
      <c r="H60" s="213">
        <f t="shared" si="4"/>
        <v>0</v>
      </c>
      <c r="I60" s="215"/>
      <c r="J60" s="204">
        <v>0</v>
      </c>
      <c r="K60" s="204"/>
      <c r="L60" s="204">
        <f t="shared" si="5"/>
        <v>0</v>
      </c>
      <c r="M60" s="215"/>
      <c r="N60" s="204"/>
      <c r="O60" s="204">
        <v>0</v>
      </c>
      <c r="P60" s="16"/>
      <c r="Q60" s="16"/>
      <c r="R60" s="16"/>
    </row>
    <row r="61" spans="1:18">
      <c r="A61" s="214"/>
      <c r="B61" s="13"/>
      <c r="C61" s="350" t="s">
        <v>1018</v>
      </c>
      <c r="D61" s="216"/>
      <c r="E61" s="21"/>
      <c r="F61" s="360" t="s">
        <v>132</v>
      </c>
      <c r="G61" s="224"/>
      <c r="H61" s="213">
        <f t="shared" si="4"/>
        <v>12502.119999999999</v>
      </c>
      <c r="I61" s="215"/>
      <c r="J61" s="204">
        <v>14039.829999999998</v>
      </c>
      <c r="K61" s="204"/>
      <c r="L61" s="204">
        <f t="shared" si="5"/>
        <v>12502.119999999999</v>
      </c>
      <c r="M61" s="215"/>
      <c r="N61" s="204"/>
      <c r="O61" s="204">
        <v>1537.71</v>
      </c>
      <c r="P61" s="16"/>
      <c r="Q61" s="16"/>
      <c r="R61" s="16"/>
    </row>
    <row r="62" spans="1:18">
      <c r="A62" s="214"/>
      <c r="B62" s="13"/>
      <c r="C62" s="350" t="s">
        <v>1019</v>
      </c>
      <c r="D62" s="216"/>
      <c r="E62" s="21"/>
      <c r="F62" s="360" t="s">
        <v>133</v>
      </c>
      <c r="G62" s="224"/>
      <c r="H62" s="213">
        <f t="shared" si="4"/>
        <v>17175.549999999981</v>
      </c>
      <c r="I62" s="215"/>
      <c r="J62" s="204">
        <v>25032.91999999998</v>
      </c>
      <c r="K62" s="204"/>
      <c r="L62" s="204">
        <f t="shared" si="5"/>
        <v>17175.549999999981</v>
      </c>
      <c r="M62" s="215"/>
      <c r="N62" s="204"/>
      <c r="O62" s="204">
        <v>7857.3700000000008</v>
      </c>
      <c r="P62" s="16"/>
      <c r="Q62" s="16"/>
      <c r="R62" s="16"/>
    </row>
    <row r="63" spans="1:18">
      <c r="A63" s="214"/>
      <c r="B63" s="13"/>
      <c r="C63" s="350" t="s">
        <v>1020</v>
      </c>
      <c r="D63" s="216"/>
      <c r="E63" s="21"/>
      <c r="F63" s="360" t="s">
        <v>134</v>
      </c>
      <c r="G63" s="224"/>
      <c r="H63" s="213">
        <f t="shared" si="4"/>
        <v>142498.5</v>
      </c>
      <c r="I63" s="215"/>
      <c r="J63" s="204">
        <v>176170.44999999998</v>
      </c>
      <c r="K63" s="204"/>
      <c r="L63" s="204">
        <f t="shared" si="5"/>
        <v>142498.5</v>
      </c>
      <c r="M63" s="215"/>
      <c r="N63" s="204"/>
      <c r="O63" s="204">
        <v>33671.949999999997</v>
      </c>
      <c r="P63" s="16"/>
      <c r="Q63" s="16"/>
      <c r="R63" s="16"/>
    </row>
    <row r="64" spans="1:18">
      <c r="A64" s="214"/>
      <c r="B64" s="13"/>
      <c r="C64" s="350" t="s">
        <v>1021</v>
      </c>
      <c r="D64" s="216"/>
      <c r="E64" s="21"/>
      <c r="F64" s="360" t="s">
        <v>135</v>
      </c>
      <c r="G64" s="224"/>
      <c r="H64" s="213">
        <f t="shared" si="4"/>
        <v>394400.38000000024</v>
      </c>
      <c r="I64" s="215"/>
      <c r="J64" s="204">
        <v>589122.3400000002</v>
      </c>
      <c r="K64" s="204"/>
      <c r="L64" s="204">
        <f t="shared" si="5"/>
        <v>394400.38000000024</v>
      </c>
      <c r="M64" s="215"/>
      <c r="N64" s="204"/>
      <c r="O64" s="204">
        <v>194721.96</v>
      </c>
      <c r="P64" s="16"/>
      <c r="Q64" s="16"/>
      <c r="R64" s="16"/>
    </row>
    <row r="65" spans="1:18">
      <c r="A65" s="214"/>
      <c r="B65" s="13"/>
      <c r="C65" s="350" t="s">
        <v>1022</v>
      </c>
      <c r="D65" s="216"/>
      <c r="E65" s="21"/>
      <c r="F65" s="360" t="s">
        <v>130</v>
      </c>
      <c r="G65" s="224"/>
      <c r="H65" s="213">
        <f t="shared" si="4"/>
        <v>123485.37999999995</v>
      </c>
      <c r="I65" s="215"/>
      <c r="J65" s="204">
        <v>347378.06999999995</v>
      </c>
      <c r="K65" s="204"/>
      <c r="L65" s="204">
        <f t="shared" si="5"/>
        <v>123485.37999999995</v>
      </c>
      <c r="M65" s="215"/>
      <c r="N65" s="368"/>
      <c r="O65" s="204">
        <v>223892.69</v>
      </c>
      <c r="P65" s="16"/>
      <c r="Q65" s="16"/>
      <c r="R65" s="16"/>
    </row>
    <row r="66" spans="1:18">
      <c r="A66" s="214"/>
      <c r="B66" s="13"/>
      <c r="C66" s="350" t="s">
        <v>1023</v>
      </c>
      <c r="D66" s="216"/>
      <c r="E66" s="21"/>
      <c r="F66" s="360" t="s">
        <v>136</v>
      </c>
      <c r="G66" s="224"/>
      <c r="H66" s="213">
        <f t="shared" si="4"/>
        <v>105658.09000000004</v>
      </c>
      <c r="I66" s="215"/>
      <c r="J66" s="204">
        <v>138632.01000000004</v>
      </c>
      <c r="K66" s="204"/>
      <c r="L66" s="204">
        <f t="shared" ref="L66:L84" si="6">+J66+N66-O66</f>
        <v>105658.09000000004</v>
      </c>
      <c r="M66" s="215"/>
      <c r="N66" s="204"/>
      <c r="O66" s="204">
        <v>32973.919999999998</v>
      </c>
      <c r="P66" s="16"/>
      <c r="Q66" s="16"/>
      <c r="R66" s="16"/>
    </row>
    <row r="67" spans="1:18">
      <c r="A67" s="214"/>
      <c r="B67" s="13"/>
      <c r="C67" s="350" t="s">
        <v>1024</v>
      </c>
      <c r="D67" s="216"/>
      <c r="E67" s="21"/>
      <c r="F67" s="360" t="s">
        <v>137</v>
      </c>
      <c r="G67" s="224"/>
      <c r="H67" s="213">
        <f t="shared" si="4"/>
        <v>1.1641532182693481E-10</v>
      </c>
      <c r="I67" s="215"/>
      <c r="J67" s="204">
        <v>24946.320000000123</v>
      </c>
      <c r="K67" s="204"/>
      <c r="L67" s="204">
        <f t="shared" si="6"/>
        <v>1.1641532182693481E-10</v>
      </c>
      <c r="M67" s="215"/>
      <c r="N67" s="204">
        <v>48460.49</v>
      </c>
      <c r="O67" s="204">
        <v>73406.81</v>
      </c>
      <c r="P67" s="16"/>
      <c r="Q67" s="16"/>
      <c r="R67" s="16"/>
    </row>
    <row r="68" spans="1:18">
      <c r="A68" s="214"/>
      <c r="B68" s="13"/>
      <c r="C68" s="350" t="s">
        <v>1025</v>
      </c>
      <c r="D68" s="216"/>
      <c r="E68" s="21"/>
      <c r="F68" s="360" t="s">
        <v>138</v>
      </c>
      <c r="G68" s="224"/>
      <c r="H68" s="213">
        <f t="shared" si="4"/>
        <v>192864.24700000015</v>
      </c>
      <c r="I68" s="215"/>
      <c r="J68" s="204">
        <v>243584.72000000015</v>
      </c>
      <c r="K68" s="204"/>
      <c r="L68" s="204">
        <f t="shared" si="6"/>
        <v>192864.24700000015</v>
      </c>
      <c r="M68" s="215"/>
      <c r="N68" s="204"/>
      <c r="O68" s="204">
        <v>50720.472999999998</v>
      </c>
      <c r="P68" s="16"/>
      <c r="Q68" s="16"/>
      <c r="R68" s="16"/>
    </row>
    <row r="69" spans="1:18">
      <c r="A69" s="214"/>
      <c r="B69" s="13"/>
      <c r="C69" s="350" t="s">
        <v>1026</v>
      </c>
      <c r="D69" s="216"/>
      <c r="E69" s="21"/>
      <c r="F69" s="360" t="s">
        <v>139</v>
      </c>
      <c r="G69" s="224"/>
      <c r="H69" s="213">
        <f t="shared" si="4"/>
        <v>2228378.0699999998</v>
      </c>
      <c r="I69" s="215"/>
      <c r="J69" s="204">
        <v>2312000.3199999998</v>
      </c>
      <c r="K69" s="204"/>
      <c r="L69" s="204">
        <f t="shared" si="6"/>
        <v>2228378.0699999998</v>
      </c>
      <c r="M69" s="215"/>
      <c r="N69" s="204"/>
      <c r="O69" s="204">
        <v>83622.25</v>
      </c>
      <c r="P69" s="16"/>
      <c r="Q69" s="16"/>
      <c r="R69" s="16"/>
    </row>
    <row r="70" spans="1:18">
      <c r="A70" s="214"/>
      <c r="B70" s="13"/>
      <c r="C70" s="350" t="s">
        <v>1027</v>
      </c>
      <c r="D70" s="216"/>
      <c r="E70" s="21"/>
      <c r="F70" s="360" t="s">
        <v>140</v>
      </c>
      <c r="G70" s="224"/>
      <c r="H70" s="213">
        <f t="shared" si="4"/>
        <v>3996.6199999998062</v>
      </c>
      <c r="I70" s="226"/>
      <c r="J70" s="204">
        <v>81733.699999999808</v>
      </c>
      <c r="K70" s="204"/>
      <c r="L70" s="204">
        <f t="shared" si="6"/>
        <v>3996.6199999998062</v>
      </c>
      <c r="M70" s="215"/>
      <c r="N70" s="204"/>
      <c r="O70" s="204">
        <v>77737.08</v>
      </c>
      <c r="P70" s="16"/>
      <c r="Q70" s="16"/>
      <c r="R70" s="16"/>
    </row>
    <row r="71" spans="1:18">
      <c r="A71" s="214"/>
      <c r="B71" s="13"/>
      <c r="C71" s="350" t="s">
        <v>1028</v>
      </c>
      <c r="D71" s="216"/>
      <c r="E71" s="21"/>
      <c r="F71" s="360" t="s">
        <v>141</v>
      </c>
      <c r="G71" s="224"/>
      <c r="H71" s="213">
        <f t="shared" si="4"/>
        <v>0</v>
      </c>
      <c r="I71" s="215"/>
      <c r="J71" s="204">
        <v>35055.609999999964</v>
      </c>
      <c r="K71" s="204"/>
      <c r="L71" s="204">
        <f t="shared" si="6"/>
        <v>0</v>
      </c>
      <c r="M71" s="215"/>
      <c r="N71" s="204">
        <v>115080.97</v>
      </c>
      <c r="O71" s="204">
        <v>150136.58000000002</v>
      </c>
      <c r="P71" s="16"/>
      <c r="Q71" s="16"/>
      <c r="R71" s="16"/>
    </row>
    <row r="72" spans="1:18">
      <c r="A72" s="214"/>
      <c r="B72" s="13"/>
      <c r="C72" s="350" t="s">
        <v>1029</v>
      </c>
      <c r="D72" s="216"/>
      <c r="E72" s="21"/>
      <c r="F72" s="360" t="s">
        <v>142</v>
      </c>
      <c r="G72" s="224"/>
      <c r="H72" s="213">
        <f t="shared" si="4"/>
        <v>67619.180000000037</v>
      </c>
      <c r="I72" s="215"/>
      <c r="J72" s="204">
        <v>74355.800000000032</v>
      </c>
      <c r="K72" s="204"/>
      <c r="L72" s="204">
        <f t="shared" si="6"/>
        <v>67619.180000000037</v>
      </c>
      <c r="M72" s="215"/>
      <c r="N72" s="204"/>
      <c r="O72" s="204">
        <v>6736.62</v>
      </c>
      <c r="P72" s="16"/>
      <c r="Q72" s="16"/>
      <c r="R72" s="16"/>
    </row>
    <row r="73" spans="1:18">
      <c r="A73" s="238"/>
      <c r="B73" s="14"/>
      <c r="C73" s="509" t="s">
        <v>1030</v>
      </c>
      <c r="D73" s="369"/>
      <c r="E73" s="598"/>
      <c r="F73" s="643" t="s">
        <v>143</v>
      </c>
      <c r="G73" s="675"/>
      <c r="H73" s="232">
        <f t="shared" si="4"/>
        <v>415775.73999999953</v>
      </c>
      <c r="I73" s="215"/>
      <c r="J73" s="204">
        <v>507264.40999999957</v>
      </c>
      <c r="K73" s="204"/>
      <c r="L73" s="204">
        <f t="shared" si="6"/>
        <v>415775.73999999953</v>
      </c>
      <c r="M73" s="215"/>
      <c r="N73" s="204"/>
      <c r="O73" s="204">
        <v>91488.670000000013</v>
      </c>
      <c r="P73" s="16"/>
      <c r="Q73" s="16"/>
      <c r="R73" s="16"/>
    </row>
    <row r="74" spans="1:18">
      <c r="A74" s="214"/>
      <c r="B74" s="13"/>
      <c r="C74" s="350" t="s">
        <v>1031</v>
      </c>
      <c r="D74" s="216"/>
      <c r="E74" s="21"/>
      <c r="F74" s="360" t="s">
        <v>144</v>
      </c>
      <c r="G74" s="224"/>
      <c r="H74" s="213">
        <f t="shared" si="4"/>
        <v>2500566.3800000013</v>
      </c>
      <c r="I74" s="215"/>
      <c r="J74" s="204">
        <v>3122193.9500000011</v>
      </c>
      <c r="K74" s="204"/>
      <c r="L74" s="204">
        <f t="shared" si="6"/>
        <v>2500566.3800000013</v>
      </c>
      <c r="M74" s="215"/>
      <c r="N74" s="204"/>
      <c r="O74" s="204">
        <v>621627.56999999995</v>
      </c>
      <c r="P74" s="16"/>
      <c r="Q74" s="16"/>
      <c r="R74" s="16"/>
    </row>
    <row r="75" spans="1:18">
      <c r="A75" s="214"/>
      <c r="B75" s="13"/>
      <c r="C75" s="350" t="s">
        <v>1032</v>
      </c>
      <c r="D75" s="216"/>
      <c r="E75" s="21"/>
      <c r="F75" s="360" t="s">
        <v>146</v>
      </c>
      <c r="G75" s="224"/>
      <c r="H75" s="213">
        <f t="shared" si="4"/>
        <v>9325.1199999999881</v>
      </c>
      <c r="I75" s="215"/>
      <c r="J75" s="204">
        <v>42971.229999999989</v>
      </c>
      <c r="K75" s="204"/>
      <c r="L75" s="204">
        <f t="shared" si="6"/>
        <v>9325.1199999999881</v>
      </c>
      <c r="M75" s="215"/>
      <c r="N75" s="204"/>
      <c r="O75" s="204">
        <v>33646.11</v>
      </c>
      <c r="P75" s="16"/>
      <c r="Q75" s="16"/>
      <c r="R75" s="16"/>
    </row>
    <row r="76" spans="1:18">
      <c r="A76" s="214"/>
      <c r="B76" s="13"/>
      <c r="C76" s="350" t="s">
        <v>1033</v>
      </c>
      <c r="D76" s="216"/>
      <c r="E76" s="21"/>
      <c r="F76" s="360" t="s">
        <v>147</v>
      </c>
      <c r="G76" s="224"/>
      <c r="H76" s="213">
        <f t="shared" si="4"/>
        <v>109076.79000000001</v>
      </c>
      <c r="I76" s="215"/>
      <c r="J76" s="204">
        <v>114885.49</v>
      </c>
      <c r="K76" s="204"/>
      <c r="L76" s="204">
        <f t="shared" si="6"/>
        <v>109076.79000000001</v>
      </c>
      <c r="M76" s="215"/>
      <c r="N76" s="204"/>
      <c r="O76" s="204">
        <v>5808.7</v>
      </c>
      <c r="P76" s="16"/>
      <c r="Q76" s="16"/>
      <c r="R76" s="16"/>
    </row>
    <row r="77" spans="1:18">
      <c r="A77" s="214"/>
      <c r="B77" s="13"/>
      <c r="C77" s="350" t="s">
        <v>1034</v>
      </c>
      <c r="D77" s="215"/>
      <c r="E77" s="21"/>
      <c r="F77" s="360" t="s">
        <v>148</v>
      </c>
      <c r="G77" s="545"/>
      <c r="H77" s="671">
        <f t="shared" si="4"/>
        <v>643.44000000000369</v>
      </c>
      <c r="I77" s="215"/>
      <c r="J77" s="204">
        <v>2242.7700000000036</v>
      </c>
      <c r="K77" s="204"/>
      <c r="L77" s="204">
        <f t="shared" si="6"/>
        <v>643.44000000000369</v>
      </c>
      <c r="M77" s="215"/>
      <c r="N77" s="204"/>
      <c r="O77" s="204">
        <v>1599.33</v>
      </c>
      <c r="P77" s="16"/>
      <c r="Q77" s="16"/>
      <c r="R77" s="16"/>
    </row>
    <row r="78" spans="1:18">
      <c r="A78" s="214"/>
      <c r="B78" s="13"/>
      <c r="C78" s="350" t="s">
        <v>1035</v>
      </c>
      <c r="D78" s="216"/>
      <c r="E78" s="21"/>
      <c r="F78" s="360" t="s">
        <v>149</v>
      </c>
      <c r="G78" s="224"/>
      <c r="H78" s="213">
        <f t="shared" si="4"/>
        <v>631824.80999999936</v>
      </c>
      <c r="I78" s="215"/>
      <c r="J78" s="204">
        <v>696735.4999999993</v>
      </c>
      <c r="K78" s="204"/>
      <c r="L78" s="204">
        <f t="shared" si="6"/>
        <v>631824.80999999936</v>
      </c>
      <c r="M78" s="215"/>
      <c r="N78" s="204"/>
      <c r="O78" s="204">
        <v>64910.69</v>
      </c>
      <c r="P78" s="16"/>
      <c r="Q78" s="16"/>
      <c r="R78" s="16"/>
    </row>
    <row r="79" spans="1:18">
      <c r="A79" s="214"/>
      <c r="B79" s="13"/>
      <c r="C79" s="350" t="s">
        <v>1036</v>
      </c>
      <c r="D79" s="216"/>
      <c r="E79" s="21"/>
      <c r="F79" s="360" t="s">
        <v>150</v>
      </c>
      <c r="G79" s="224"/>
      <c r="H79" s="213">
        <f t="shared" si="4"/>
        <v>21424.159999999996</v>
      </c>
      <c r="I79" s="215"/>
      <c r="J79" s="204">
        <v>23714.489999999994</v>
      </c>
      <c r="K79" s="204"/>
      <c r="L79" s="204">
        <f t="shared" si="6"/>
        <v>21424.159999999996</v>
      </c>
      <c r="M79" s="215"/>
      <c r="N79" s="204"/>
      <c r="O79" s="204">
        <v>2290.33</v>
      </c>
      <c r="P79" s="16"/>
      <c r="Q79" s="16"/>
      <c r="R79" s="16"/>
    </row>
    <row r="80" spans="1:18">
      <c r="A80" s="214"/>
      <c r="B80" s="13"/>
      <c r="C80" s="350" t="s">
        <v>1037</v>
      </c>
      <c r="D80" s="216"/>
      <c r="E80" s="21"/>
      <c r="F80" s="360" t="s">
        <v>151</v>
      </c>
      <c r="G80" s="224"/>
      <c r="H80" s="213">
        <f t="shared" si="4"/>
        <v>0</v>
      </c>
      <c r="I80" s="215"/>
      <c r="J80" s="204">
        <v>0</v>
      </c>
      <c r="K80" s="204"/>
      <c r="L80" s="204">
        <f t="shared" si="6"/>
        <v>0</v>
      </c>
      <c r="M80" s="215"/>
      <c r="N80" s="204"/>
      <c r="O80" s="204">
        <v>0</v>
      </c>
      <c r="P80" s="16"/>
      <c r="Q80" s="16"/>
      <c r="R80" s="16"/>
    </row>
    <row r="81" spans="1:18">
      <c r="A81" s="214"/>
      <c r="B81" s="13"/>
      <c r="C81" s="350" t="s">
        <v>1038</v>
      </c>
      <c r="D81" s="216"/>
      <c r="E81" s="21"/>
      <c r="F81" s="360" t="s">
        <v>1042</v>
      </c>
      <c r="G81" s="224"/>
      <c r="H81" s="213">
        <f t="shared" si="4"/>
        <v>160637.69</v>
      </c>
      <c r="I81" s="215"/>
      <c r="J81" s="204">
        <v>183184.74</v>
      </c>
      <c r="K81" s="204"/>
      <c r="L81" s="204">
        <f t="shared" si="6"/>
        <v>160637.69</v>
      </c>
      <c r="M81" s="215"/>
      <c r="N81" s="204"/>
      <c r="O81" s="204">
        <v>22547.050000000003</v>
      </c>
      <c r="P81" s="16"/>
      <c r="Q81" s="16"/>
      <c r="R81" s="16"/>
    </row>
    <row r="82" spans="1:18">
      <c r="A82" s="214"/>
      <c r="B82" s="13"/>
      <c r="C82" s="350" t="s">
        <v>1039</v>
      </c>
      <c r="D82" s="216"/>
      <c r="E82" s="21"/>
      <c r="F82" s="360" t="s">
        <v>1043</v>
      </c>
      <c r="G82" s="224"/>
      <c r="H82" s="213">
        <f t="shared" si="4"/>
        <v>2585006.2000000002</v>
      </c>
      <c r="I82" s="215"/>
      <c r="J82" s="204">
        <v>3390983.17</v>
      </c>
      <c r="K82" s="204"/>
      <c r="L82" s="204">
        <f t="shared" si="6"/>
        <v>2585006.2000000002</v>
      </c>
      <c r="M82" s="215"/>
      <c r="N82" s="204"/>
      <c r="O82" s="204">
        <v>805976.97</v>
      </c>
      <c r="P82" s="16"/>
      <c r="Q82" s="16"/>
      <c r="R82" s="16"/>
    </row>
    <row r="83" spans="1:18">
      <c r="A83" s="214"/>
      <c r="B83" s="13"/>
      <c r="C83" s="350" t="s">
        <v>1040</v>
      </c>
      <c r="D83" s="216"/>
      <c r="E83" s="21"/>
      <c r="F83" s="360" t="s">
        <v>1044</v>
      </c>
      <c r="G83" s="224"/>
      <c r="H83" s="213">
        <f t="shared" si="4"/>
        <v>49934.270000000026</v>
      </c>
      <c r="I83" s="215"/>
      <c r="J83" s="204">
        <v>53215.760000000024</v>
      </c>
      <c r="K83" s="204"/>
      <c r="L83" s="204">
        <f t="shared" si="6"/>
        <v>49934.270000000026</v>
      </c>
      <c r="M83" s="215"/>
      <c r="N83" s="204"/>
      <c r="O83" s="204">
        <v>3281.4900000000002</v>
      </c>
      <c r="P83" s="16"/>
      <c r="Q83" s="16"/>
      <c r="R83" s="16"/>
    </row>
    <row r="84" spans="1:18">
      <c r="A84" s="214"/>
      <c r="B84" s="13"/>
      <c r="C84" s="350" t="s">
        <v>1041</v>
      </c>
      <c r="D84" s="216"/>
      <c r="E84" s="21"/>
      <c r="F84" s="360" t="s">
        <v>1045</v>
      </c>
      <c r="G84" s="224"/>
      <c r="H84" s="213">
        <f t="shared" si="4"/>
        <v>6334.5499999999965</v>
      </c>
      <c r="I84" s="215"/>
      <c r="J84" s="204">
        <v>7741.7299999999968</v>
      </c>
      <c r="K84" s="204"/>
      <c r="L84" s="204">
        <f t="shared" si="6"/>
        <v>6334.5499999999965</v>
      </c>
      <c r="M84" s="215"/>
      <c r="N84" s="204"/>
      <c r="O84" s="204">
        <v>1407.18</v>
      </c>
      <c r="P84" s="16"/>
      <c r="Q84" s="16"/>
      <c r="R84" s="16"/>
    </row>
    <row r="85" spans="1:18">
      <c r="A85" s="214"/>
      <c r="B85" s="215"/>
      <c r="C85" s="215"/>
      <c r="D85" s="216"/>
      <c r="E85" s="21"/>
      <c r="F85" s="222"/>
      <c r="G85" s="224"/>
      <c r="H85" s="220">
        <f>SUM(H44:H84)</f>
        <v>11864007.116999999</v>
      </c>
      <c r="I85" s="226">
        <f>+H85-G43</f>
        <v>-2.9999688267707825E-3</v>
      </c>
      <c r="J85" s="204"/>
      <c r="K85" s="204"/>
      <c r="L85" s="204"/>
      <c r="M85" s="215"/>
      <c r="N85" s="204"/>
      <c r="O85" s="204"/>
      <c r="P85" s="204"/>
      <c r="R85" s="16"/>
    </row>
    <row r="86" spans="1:18">
      <c r="A86" s="214" t="s">
        <v>274</v>
      </c>
      <c r="B86" s="215"/>
      <c r="C86" s="215"/>
      <c r="D86" s="216"/>
      <c r="E86" s="21">
        <v>136</v>
      </c>
      <c r="F86" s="210"/>
      <c r="G86" s="545">
        <f>+TB!C28</f>
        <v>21330.190000000002</v>
      </c>
      <c r="H86" s="213"/>
      <c r="I86" s="226"/>
      <c r="J86" s="204"/>
      <c r="K86" s="204"/>
      <c r="L86" s="204"/>
      <c r="M86" s="215"/>
      <c r="N86" s="204"/>
      <c r="O86" s="204"/>
      <c r="P86" s="16"/>
    </row>
    <row r="87" spans="1:18">
      <c r="A87" s="214"/>
      <c r="B87" s="215" t="s">
        <v>949</v>
      </c>
      <c r="C87" s="215"/>
      <c r="D87" s="216"/>
      <c r="E87" s="21"/>
      <c r="F87" s="348" t="s">
        <v>128</v>
      </c>
      <c r="G87" s="545"/>
      <c r="H87" s="213">
        <f>+L87</f>
        <v>21330.19</v>
      </c>
      <c r="I87" s="226"/>
      <c r="J87" s="204">
        <v>21330.19</v>
      </c>
      <c r="K87" s="204"/>
      <c r="L87" s="204">
        <f>+J87+N87-O87</f>
        <v>21330.19</v>
      </c>
      <c r="M87" s="215"/>
      <c r="N87" s="204"/>
      <c r="O87" s="204"/>
    </row>
    <row r="88" spans="1:18">
      <c r="A88" s="214"/>
      <c r="B88" s="350"/>
      <c r="C88" s="215"/>
      <c r="D88" s="216"/>
      <c r="E88" s="21"/>
      <c r="F88" s="348"/>
      <c r="G88" s="545"/>
      <c r="H88" s="220">
        <f>SUM(H87:H87)</f>
        <v>21330.19</v>
      </c>
      <c r="I88" s="226">
        <f>+H88-G86</f>
        <v>0</v>
      </c>
      <c r="J88" s="204"/>
      <c r="K88" s="204"/>
      <c r="L88" s="204"/>
      <c r="M88" s="215"/>
      <c r="N88" s="204"/>
      <c r="O88" s="204"/>
    </row>
    <row r="89" spans="1:18">
      <c r="A89" s="214"/>
      <c r="B89" s="215"/>
      <c r="C89" s="215"/>
      <c r="D89" s="216"/>
      <c r="E89" s="21"/>
      <c r="F89" s="222"/>
      <c r="G89" s="224"/>
      <c r="H89" s="210"/>
      <c r="I89" s="215"/>
      <c r="J89" s="204"/>
      <c r="K89" s="204"/>
      <c r="L89" s="204"/>
      <c r="M89" s="215"/>
      <c r="N89" s="204"/>
      <c r="O89" s="204"/>
    </row>
    <row r="90" spans="1:18">
      <c r="A90" s="214" t="s">
        <v>373</v>
      </c>
      <c r="B90" s="215"/>
      <c r="C90" s="215"/>
      <c r="D90" s="216"/>
      <c r="E90" s="21">
        <v>139</v>
      </c>
      <c r="F90" s="222"/>
      <c r="G90" s="224">
        <f>+TB!C31</f>
        <v>2100000</v>
      </c>
      <c r="H90" s="210"/>
      <c r="I90" s="215"/>
      <c r="J90" s="204"/>
      <c r="K90" s="204"/>
      <c r="L90" s="204"/>
      <c r="M90" s="215"/>
      <c r="N90" s="204"/>
      <c r="O90" s="204"/>
    </row>
    <row r="91" spans="1:18">
      <c r="A91" s="214"/>
      <c r="B91" s="215" t="s">
        <v>429</v>
      </c>
      <c r="C91" s="215"/>
      <c r="D91" s="216"/>
      <c r="E91" s="21"/>
      <c r="F91" s="222" t="s">
        <v>128</v>
      </c>
      <c r="G91" s="224"/>
      <c r="H91" s="220">
        <f>+L91</f>
        <v>2100000</v>
      </c>
      <c r="I91" s="226">
        <f>+H91-G90</f>
        <v>0</v>
      </c>
      <c r="J91" s="204">
        <v>2100000</v>
      </c>
      <c r="K91" s="204"/>
      <c r="L91" s="204">
        <f>+J91+N91-O91</f>
        <v>2100000</v>
      </c>
      <c r="M91" s="215"/>
      <c r="N91" s="204"/>
      <c r="O91" s="204"/>
    </row>
    <row r="92" spans="1:18">
      <c r="A92" s="214"/>
      <c r="B92" s="215"/>
      <c r="C92" s="215"/>
      <c r="D92" s="216"/>
      <c r="E92" s="21"/>
      <c r="F92" s="222"/>
      <c r="G92" s="545"/>
      <c r="H92" s="213"/>
      <c r="I92" s="226"/>
      <c r="J92" s="204"/>
      <c r="K92" s="204"/>
      <c r="L92" s="204"/>
      <c r="M92" s="215"/>
      <c r="N92" s="204"/>
      <c r="O92" s="204"/>
    </row>
    <row r="93" spans="1:18">
      <c r="A93" s="214" t="s">
        <v>23</v>
      </c>
      <c r="B93" s="215"/>
      <c r="C93" s="215"/>
      <c r="D93" s="216"/>
      <c r="E93" s="21">
        <v>144</v>
      </c>
      <c r="F93" s="219"/>
      <c r="G93" s="545">
        <f>+TB!C32</f>
        <v>20841.53</v>
      </c>
      <c r="H93" s="217"/>
      <c r="I93" s="215"/>
      <c r="J93" s="204">
        <v>0</v>
      </c>
      <c r="K93" s="204"/>
      <c r="L93" s="204">
        <f>+J93+N93-O93</f>
        <v>0</v>
      </c>
      <c r="M93" s="215"/>
      <c r="N93" s="204"/>
      <c r="O93" s="204"/>
    </row>
    <row r="94" spans="1:18">
      <c r="A94" s="214"/>
      <c r="B94" s="215" t="s">
        <v>166</v>
      </c>
      <c r="C94" s="215"/>
      <c r="D94" s="216"/>
      <c r="E94" s="21"/>
      <c r="F94" s="219" t="s">
        <v>128</v>
      </c>
      <c r="G94" s="545"/>
      <c r="H94" s="213">
        <f>+L94</f>
        <v>20841.529999999992</v>
      </c>
      <c r="I94" s="204"/>
      <c r="J94" s="204">
        <v>15501.30999999999</v>
      </c>
      <c r="K94" s="204"/>
      <c r="L94" s="204">
        <f>+J94+N94-O94</f>
        <v>20841.529999999992</v>
      </c>
      <c r="M94" s="215"/>
      <c r="N94" s="204">
        <v>5340.22</v>
      </c>
      <c r="O94" s="204">
        <v>0</v>
      </c>
    </row>
    <row r="95" spans="1:18" hidden="1">
      <c r="A95" s="214"/>
      <c r="B95" s="215" t="s">
        <v>278</v>
      </c>
      <c r="C95" s="215"/>
      <c r="D95" s="216"/>
      <c r="E95" s="21"/>
      <c r="F95" s="219" t="s">
        <v>129</v>
      </c>
      <c r="G95" s="545"/>
      <c r="H95" s="213">
        <f>+L95</f>
        <v>0</v>
      </c>
      <c r="I95" s="226"/>
      <c r="J95" s="204">
        <v>0</v>
      </c>
      <c r="K95" s="204"/>
      <c r="L95" s="204">
        <f>+J95+N95-O95</f>
        <v>0</v>
      </c>
      <c r="M95" s="215"/>
      <c r="N95" s="204"/>
      <c r="O95" s="204"/>
    </row>
    <row r="96" spans="1:18">
      <c r="A96" s="214"/>
      <c r="B96" s="215"/>
      <c r="C96" s="215"/>
      <c r="D96" s="216"/>
      <c r="E96" s="21"/>
      <c r="F96" s="210"/>
      <c r="G96" s="224"/>
      <c r="H96" s="220">
        <f>SUM(H94:H95)</f>
        <v>20841.529999999992</v>
      </c>
      <c r="I96" s="226">
        <f>+G93-H96</f>
        <v>0</v>
      </c>
      <c r="J96" s="204"/>
      <c r="K96" s="204"/>
      <c r="L96" s="204"/>
      <c r="M96" s="215"/>
      <c r="N96" s="204"/>
      <c r="O96" s="204"/>
    </row>
    <row r="97" spans="1:15">
      <c r="A97" s="214"/>
      <c r="B97" s="215"/>
      <c r="C97" s="215"/>
      <c r="D97" s="216"/>
      <c r="E97" s="21"/>
      <c r="F97" s="210"/>
      <c r="G97" s="224"/>
      <c r="H97" s="213"/>
      <c r="I97" s="226"/>
      <c r="J97" s="204"/>
      <c r="K97" s="204"/>
      <c r="L97" s="204"/>
      <c r="M97" s="215"/>
      <c r="N97" s="204"/>
      <c r="O97" s="204"/>
    </row>
    <row r="98" spans="1:15">
      <c r="A98" s="214" t="s">
        <v>152</v>
      </c>
      <c r="B98" s="215"/>
      <c r="C98" s="215"/>
      <c r="D98" s="216"/>
      <c r="E98" s="21">
        <v>146</v>
      </c>
      <c r="F98" s="210"/>
      <c r="G98" s="224">
        <f>+TB!C33</f>
        <v>82016.209999999963</v>
      </c>
      <c r="H98" s="212"/>
      <c r="I98" s="215"/>
      <c r="J98" s="204">
        <v>0</v>
      </c>
      <c r="K98" s="204"/>
      <c r="L98" s="204">
        <f>+J98+N98-O98</f>
        <v>0</v>
      </c>
      <c r="M98" s="215"/>
      <c r="N98" s="204"/>
      <c r="O98" s="204"/>
    </row>
    <row r="99" spans="1:15">
      <c r="A99" s="214"/>
      <c r="B99" s="218" t="s">
        <v>200</v>
      </c>
      <c r="C99" s="215"/>
      <c r="D99" s="216"/>
      <c r="E99" s="23"/>
      <c r="F99" s="219" t="s">
        <v>128</v>
      </c>
      <c r="G99" s="224"/>
      <c r="H99" s="213">
        <f t="shared" ref="H99:H120" si="7">+L99</f>
        <v>6827.25</v>
      </c>
      <c r="I99" s="215"/>
      <c r="J99" s="204">
        <v>6827.25</v>
      </c>
      <c r="K99" s="204"/>
      <c r="L99" s="204">
        <f t="shared" ref="L99:L120" si="8">+J99+N99-O99</f>
        <v>6827.25</v>
      </c>
      <c r="M99" s="215"/>
      <c r="N99" s="204"/>
      <c r="O99" s="204"/>
    </row>
    <row r="100" spans="1:15">
      <c r="A100" s="214"/>
      <c r="B100" s="218" t="s">
        <v>209</v>
      </c>
      <c r="C100" s="215"/>
      <c r="D100" s="216"/>
      <c r="E100" s="23"/>
      <c r="F100" s="219" t="s">
        <v>129</v>
      </c>
      <c r="G100" s="224"/>
      <c r="H100" s="213">
        <f t="shared" si="7"/>
        <v>6723.5</v>
      </c>
      <c r="I100" s="215"/>
      <c r="J100" s="204">
        <v>6723.5</v>
      </c>
      <c r="K100" s="204"/>
      <c r="L100" s="204">
        <f t="shared" si="8"/>
        <v>6723.5</v>
      </c>
      <c r="M100" s="215"/>
      <c r="N100" s="204"/>
      <c r="O100" s="204"/>
    </row>
    <row r="101" spans="1:15">
      <c r="A101" s="214"/>
      <c r="B101" s="218" t="s">
        <v>203</v>
      </c>
      <c r="C101" s="215"/>
      <c r="D101" s="216"/>
      <c r="E101" s="23"/>
      <c r="F101" s="219" t="s">
        <v>132</v>
      </c>
      <c r="G101" s="224"/>
      <c r="H101" s="213">
        <f t="shared" si="7"/>
        <v>7347.94</v>
      </c>
      <c r="I101" s="215"/>
      <c r="J101" s="204">
        <v>7347.94</v>
      </c>
      <c r="K101" s="204"/>
      <c r="L101" s="204">
        <f t="shared" si="8"/>
        <v>7347.94</v>
      </c>
      <c r="M101" s="215"/>
      <c r="N101" s="204"/>
      <c r="O101" s="204"/>
    </row>
    <row r="102" spans="1:15">
      <c r="A102" s="214"/>
      <c r="B102" s="215" t="s">
        <v>189</v>
      </c>
      <c r="C102" s="215"/>
      <c r="D102" s="216"/>
      <c r="E102" s="23"/>
      <c r="F102" s="219" t="s">
        <v>133</v>
      </c>
      <c r="G102" s="224"/>
      <c r="H102" s="213">
        <f t="shared" si="7"/>
        <v>56.22</v>
      </c>
      <c r="I102" s="215"/>
      <c r="J102" s="204">
        <v>56.22</v>
      </c>
      <c r="K102" s="204"/>
      <c r="L102" s="204">
        <f t="shared" si="8"/>
        <v>56.22</v>
      </c>
      <c r="M102" s="215"/>
      <c r="N102" s="204"/>
      <c r="O102" s="204"/>
    </row>
    <row r="103" spans="1:15">
      <c r="A103" s="214"/>
      <c r="B103" s="218" t="s">
        <v>197</v>
      </c>
      <c r="C103" s="215"/>
      <c r="D103" s="216"/>
      <c r="E103" s="23"/>
      <c r="F103" s="219" t="s">
        <v>134</v>
      </c>
      <c r="G103" s="224"/>
      <c r="H103" s="213">
        <f t="shared" si="7"/>
        <v>5227</v>
      </c>
      <c r="I103" s="215"/>
      <c r="J103" s="204">
        <v>5227</v>
      </c>
      <c r="K103" s="204"/>
      <c r="L103" s="204">
        <f t="shared" si="8"/>
        <v>5227</v>
      </c>
      <c r="M103" s="215"/>
      <c r="N103" s="204"/>
      <c r="O103" s="204"/>
    </row>
    <row r="104" spans="1:15">
      <c r="A104" s="214"/>
      <c r="B104" s="218" t="s">
        <v>198</v>
      </c>
      <c r="C104" s="215"/>
      <c r="D104" s="216"/>
      <c r="E104" s="23"/>
      <c r="F104" s="219" t="s">
        <v>135</v>
      </c>
      <c r="G104" s="224"/>
      <c r="H104" s="213">
        <f t="shared" si="7"/>
        <v>105</v>
      </c>
      <c r="I104" s="215"/>
      <c r="J104" s="204">
        <v>105</v>
      </c>
      <c r="K104" s="204"/>
      <c r="L104" s="204">
        <f t="shared" si="8"/>
        <v>105</v>
      </c>
      <c r="M104" s="215"/>
      <c r="N104" s="204"/>
      <c r="O104" s="204"/>
    </row>
    <row r="105" spans="1:15">
      <c r="A105" s="214"/>
      <c r="B105" s="218" t="s">
        <v>206</v>
      </c>
      <c r="C105" s="215"/>
      <c r="D105" s="216"/>
      <c r="E105" s="23"/>
      <c r="F105" s="219" t="s">
        <v>130</v>
      </c>
      <c r="G105" s="224"/>
      <c r="H105" s="213">
        <f t="shared" si="7"/>
        <v>6957.25</v>
      </c>
      <c r="I105" s="215"/>
      <c r="J105" s="204">
        <v>6957.25</v>
      </c>
      <c r="K105" s="204"/>
      <c r="L105" s="204">
        <f t="shared" si="8"/>
        <v>6957.25</v>
      </c>
      <c r="M105" s="215"/>
      <c r="N105" s="204"/>
      <c r="O105" s="204"/>
    </row>
    <row r="106" spans="1:15">
      <c r="A106" s="214"/>
      <c r="B106" s="218" t="s">
        <v>199</v>
      </c>
      <c r="C106" s="215"/>
      <c r="D106" s="216"/>
      <c r="E106" s="23"/>
      <c r="F106" s="219" t="s">
        <v>136</v>
      </c>
      <c r="G106" s="224"/>
      <c r="H106" s="213">
        <f t="shared" si="7"/>
        <v>5227</v>
      </c>
      <c r="I106" s="215"/>
      <c r="J106" s="204">
        <v>5227</v>
      </c>
      <c r="K106" s="204"/>
      <c r="L106" s="204">
        <f t="shared" si="8"/>
        <v>5227</v>
      </c>
      <c r="M106" s="215"/>
      <c r="N106" s="204"/>
      <c r="O106" s="204"/>
    </row>
    <row r="107" spans="1:15">
      <c r="A107" s="214"/>
      <c r="B107" s="218" t="s">
        <v>201</v>
      </c>
      <c r="C107" s="215"/>
      <c r="D107" s="216"/>
      <c r="E107" s="23"/>
      <c r="F107" s="219" t="s">
        <v>137</v>
      </c>
      <c r="G107" s="224"/>
      <c r="H107" s="213">
        <f t="shared" si="7"/>
        <v>8069.5</v>
      </c>
      <c r="I107" s="215"/>
      <c r="J107" s="224">
        <v>8069.5</v>
      </c>
      <c r="K107" s="224"/>
      <c r="L107" s="204">
        <f t="shared" si="8"/>
        <v>8069.5</v>
      </c>
      <c r="M107" s="215"/>
      <c r="N107" s="204"/>
      <c r="O107" s="204"/>
    </row>
    <row r="108" spans="1:15">
      <c r="A108" s="214"/>
      <c r="B108" s="218" t="s">
        <v>207</v>
      </c>
      <c r="C108" s="215"/>
      <c r="D108" s="216"/>
      <c r="E108" s="23"/>
      <c r="F108" s="219" t="s">
        <v>138</v>
      </c>
      <c r="G108" s="224"/>
      <c r="H108" s="213">
        <f t="shared" si="7"/>
        <v>6763.5</v>
      </c>
      <c r="I108" s="226"/>
      <c r="J108" s="204">
        <v>6763.5</v>
      </c>
      <c r="K108" s="204"/>
      <c r="L108" s="204">
        <f t="shared" si="8"/>
        <v>6763.5</v>
      </c>
      <c r="M108" s="215"/>
      <c r="N108" s="204"/>
      <c r="O108" s="204"/>
    </row>
    <row r="109" spans="1:15">
      <c r="A109" s="214"/>
      <c r="B109" s="218" t="s">
        <v>191</v>
      </c>
      <c r="C109" s="215"/>
      <c r="D109" s="216"/>
      <c r="E109" s="23"/>
      <c r="F109" s="219" t="s">
        <v>139</v>
      </c>
      <c r="G109" s="224"/>
      <c r="H109" s="213">
        <f t="shared" si="7"/>
        <v>67.5</v>
      </c>
      <c r="I109" s="226"/>
      <c r="J109" s="204">
        <v>67.5</v>
      </c>
      <c r="K109" s="204"/>
      <c r="L109" s="204">
        <f t="shared" si="8"/>
        <v>67.5</v>
      </c>
      <c r="M109" s="215"/>
      <c r="N109" s="204"/>
      <c r="O109" s="204"/>
    </row>
    <row r="110" spans="1:15">
      <c r="A110" s="214"/>
      <c r="B110" s="218" t="s">
        <v>194</v>
      </c>
      <c r="C110" s="215"/>
      <c r="D110" s="216"/>
      <c r="E110" s="23"/>
      <c r="F110" s="219" t="s">
        <v>140</v>
      </c>
      <c r="G110" s="224"/>
      <c r="H110" s="213">
        <f t="shared" si="7"/>
        <v>8069.5</v>
      </c>
      <c r="I110" s="226"/>
      <c r="J110" s="204">
        <v>8069.5</v>
      </c>
      <c r="K110" s="204"/>
      <c r="L110" s="204">
        <f t="shared" si="8"/>
        <v>8069.5</v>
      </c>
      <c r="M110" s="215"/>
      <c r="N110" s="204"/>
      <c r="O110" s="204"/>
    </row>
    <row r="111" spans="1:15">
      <c r="A111" s="214"/>
      <c r="B111" s="218" t="s">
        <v>190</v>
      </c>
      <c r="C111" s="215"/>
      <c r="D111" s="216"/>
      <c r="E111" s="23"/>
      <c r="F111" s="219" t="s">
        <v>141</v>
      </c>
      <c r="G111" s="224"/>
      <c r="H111" s="213">
        <f t="shared" si="7"/>
        <v>575</v>
      </c>
      <c r="I111" s="226"/>
      <c r="J111" s="204">
        <v>575</v>
      </c>
      <c r="K111" s="204"/>
      <c r="L111" s="204">
        <f t="shared" si="8"/>
        <v>575</v>
      </c>
      <c r="M111" s="215"/>
      <c r="N111" s="204"/>
      <c r="O111" s="204"/>
    </row>
    <row r="112" spans="1:15">
      <c r="A112" s="214"/>
      <c r="B112" s="218" t="s">
        <v>202</v>
      </c>
      <c r="C112" s="215"/>
      <c r="D112" s="216"/>
      <c r="E112" s="23"/>
      <c r="F112" s="219" t="s">
        <v>142</v>
      </c>
      <c r="G112" s="224"/>
      <c r="H112" s="213">
        <f t="shared" si="7"/>
        <v>575</v>
      </c>
      <c r="I112" s="226"/>
      <c r="J112" s="204">
        <v>575</v>
      </c>
      <c r="K112" s="204"/>
      <c r="L112" s="204">
        <f t="shared" si="8"/>
        <v>575</v>
      </c>
      <c r="M112" s="215"/>
      <c r="N112" s="204"/>
      <c r="O112" s="204"/>
    </row>
    <row r="113" spans="1:15">
      <c r="A113" s="214"/>
      <c r="B113" s="218" t="s">
        <v>204</v>
      </c>
      <c r="C113" s="215"/>
      <c r="D113" s="216"/>
      <c r="E113" s="23"/>
      <c r="F113" s="219" t="s">
        <v>143</v>
      </c>
      <c r="G113" s="224"/>
      <c r="H113" s="213">
        <f t="shared" si="7"/>
        <v>154</v>
      </c>
      <c r="I113" s="226"/>
      <c r="J113" s="204">
        <v>154</v>
      </c>
      <c r="K113" s="204"/>
      <c r="L113" s="204">
        <f t="shared" si="8"/>
        <v>154</v>
      </c>
      <c r="M113" s="215"/>
      <c r="N113" s="204"/>
      <c r="O113" s="204"/>
    </row>
    <row r="114" spans="1:15">
      <c r="A114" s="214"/>
      <c r="B114" s="218" t="s">
        <v>210</v>
      </c>
      <c r="C114" s="215"/>
      <c r="D114" s="216"/>
      <c r="E114" s="23"/>
      <c r="F114" s="219" t="s">
        <v>144</v>
      </c>
      <c r="G114" s="224"/>
      <c r="H114" s="213">
        <f t="shared" si="7"/>
        <v>5227</v>
      </c>
      <c r="I114" s="226"/>
      <c r="J114" s="204">
        <v>5227</v>
      </c>
      <c r="K114" s="204"/>
      <c r="L114" s="204">
        <f t="shared" si="8"/>
        <v>5227</v>
      </c>
      <c r="M114" s="215"/>
      <c r="N114" s="204"/>
      <c r="O114" s="204"/>
    </row>
    <row r="115" spans="1:15">
      <c r="A115" s="214"/>
      <c r="B115" s="218" t="s">
        <v>192</v>
      </c>
      <c r="C115" s="215"/>
      <c r="D115" s="216"/>
      <c r="E115" s="23"/>
      <c r="F115" s="219" t="s">
        <v>146</v>
      </c>
      <c r="G115" s="224"/>
      <c r="H115" s="213">
        <f t="shared" si="7"/>
        <v>6827.25</v>
      </c>
      <c r="I115" s="226"/>
      <c r="J115" s="204">
        <v>6827.25</v>
      </c>
      <c r="K115" s="204"/>
      <c r="L115" s="204">
        <f t="shared" si="8"/>
        <v>6827.25</v>
      </c>
      <c r="M115" s="215"/>
      <c r="N115" s="204"/>
      <c r="O115" s="204"/>
    </row>
    <row r="116" spans="1:15">
      <c r="A116" s="214"/>
      <c r="B116" s="218" t="s">
        <v>208</v>
      </c>
      <c r="C116" s="215"/>
      <c r="D116" s="216"/>
      <c r="E116" s="23"/>
      <c r="F116" s="219" t="s">
        <v>147</v>
      </c>
      <c r="G116" s="224"/>
      <c r="H116" s="213">
        <f t="shared" si="7"/>
        <v>154</v>
      </c>
      <c r="I116" s="226"/>
      <c r="J116" s="204">
        <v>154</v>
      </c>
      <c r="K116" s="204"/>
      <c r="L116" s="204">
        <f t="shared" si="8"/>
        <v>154</v>
      </c>
      <c r="M116" s="215"/>
      <c r="N116" s="204"/>
      <c r="O116" s="204"/>
    </row>
    <row r="117" spans="1:15">
      <c r="A117" s="214"/>
      <c r="B117" s="218" t="s">
        <v>193</v>
      </c>
      <c r="C117" s="215"/>
      <c r="D117" s="216"/>
      <c r="E117" s="23"/>
      <c r="F117" s="219" t="s">
        <v>148</v>
      </c>
      <c r="G117" s="224"/>
      <c r="H117" s="213">
        <f t="shared" si="7"/>
        <v>67.5</v>
      </c>
      <c r="I117" s="226"/>
      <c r="J117" s="204">
        <v>67.5</v>
      </c>
      <c r="K117" s="204"/>
      <c r="L117" s="204">
        <f t="shared" si="8"/>
        <v>67.5</v>
      </c>
      <c r="M117" s="215"/>
      <c r="N117" s="204"/>
      <c r="O117" s="204"/>
    </row>
    <row r="118" spans="1:15">
      <c r="A118" s="214"/>
      <c r="B118" s="218" t="s">
        <v>205</v>
      </c>
      <c r="C118" s="215"/>
      <c r="D118" s="216"/>
      <c r="E118" s="23"/>
      <c r="F118" s="219" t="s">
        <v>149</v>
      </c>
      <c r="G118" s="224"/>
      <c r="H118" s="213">
        <f t="shared" si="7"/>
        <v>1092.8</v>
      </c>
      <c r="I118" s="226"/>
      <c r="J118" s="204">
        <v>1092.8</v>
      </c>
      <c r="K118" s="204"/>
      <c r="L118" s="204">
        <f t="shared" si="8"/>
        <v>1092.8</v>
      </c>
      <c r="M118" s="215"/>
      <c r="N118" s="204"/>
      <c r="O118" s="204"/>
    </row>
    <row r="119" spans="1:15">
      <c r="A119" s="214"/>
      <c r="B119" s="218" t="s">
        <v>196</v>
      </c>
      <c r="C119" s="215"/>
      <c r="D119" s="216"/>
      <c r="E119" s="23"/>
      <c r="F119" s="219" t="s">
        <v>150</v>
      </c>
      <c r="G119" s="224"/>
      <c r="H119" s="213">
        <f t="shared" si="7"/>
        <v>575</v>
      </c>
      <c r="I119" s="226"/>
      <c r="J119" s="204">
        <v>575</v>
      </c>
      <c r="K119" s="204"/>
      <c r="L119" s="204">
        <f t="shared" si="8"/>
        <v>575</v>
      </c>
      <c r="M119" s="215"/>
      <c r="N119" s="204"/>
      <c r="O119" s="204"/>
    </row>
    <row r="120" spans="1:15">
      <c r="A120" s="214"/>
      <c r="B120" s="215" t="s">
        <v>195</v>
      </c>
      <c r="C120" s="215"/>
      <c r="D120" s="216"/>
      <c r="E120" s="23"/>
      <c r="F120" s="219" t="s">
        <v>151</v>
      </c>
      <c r="G120" s="224"/>
      <c r="H120" s="213">
        <f t="shared" si="7"/>
        <v>5327.5</v>
      </c>
      <c r="I120" s="226"/>
      <c r="J120" s="204">
        <v>5327.5</v>
      </c>
      <c r="K120" s="204"/>
      <c r="L120" s="204">
        <f t="shared" si="8"/>
        <v>5327.5</v>
      </c>
      <c r="M120" s="215"/>
      <c r="N120" s="204"/>
      <c r="O120" s="204"/>
    </row>
    <row r="121" spans="1:15">
      <c r="A121" s="214"/>
      <c r="B121" s="218"/>
      <c r="C121" s="215"/>
      <c r="D121" s="216"/>
      <c r="E121" s="23"/>
      <c r="F121" s="210"/>
      <c r="G121" s="224"/>
      <c r="H121" s="220">
        <f>SUM(H99:H120)</f>
        <v>82016.210000000006</v>
      </c>
      <c r="I121" s="226">
        <f>+H121-G98</f>
        <v>0</v>
      </c>
      <c r="J121" s="204">
        <v>0</v>
      </c>
      <c r="K121" s="204"/>
      <c r="L121" s="204">
        <f>+J121+N121-O121</f>
        <v>0</v>
      </c>
      <c r="M121" s="215"/>
      <c r="N121" s="204"/>
      <c r="O121" s="204"/>
    </row>
    <row r="122" spans="1:15">
      <c r="A122" s="214" t="s">
        <v>330</v>
      </c>
      <c r="B122" s="218"/>
      <c r="C122" s="215"/>
      <c r="D122" s="216"/>
      <c r="E122" s="23">
        <v>148</v>
      </c>
      <c r="F122" s="210"/>
      <c r="G122" s="224">
        <f>+TB!C34</f>
        <v>849005.01000000164</v>
      </c>
      <c r="H122" s="213"/>
      <c r="I122" s="226"/>
      <c r="J122" s="204"/>
      <c r="K122" s="204"/>
      <c r="L122" s="204"/>
      <c r="M122" s="215"/>
      <c r="N122" s="204"/>
      <c r="O122" s="204"/>
    </row>
    <row r="123" spans="1:15">
      <c r="A123" s="214"/>
      <c r="B123" s="218" t="s">
        <v>337</v>
      </c>
      <c r="C123" s="215"/>
      <c r="D123" s="216"/>
      <c r="E123" s="23"/>
      <c r="F123" s="22" t="s">
        <v>128</v>
      </c>
      <c r="G123" s="224"/>
      <c r="H123" s="213"/>
      <c r="I123" s="226"/>
      <c r="J123" s="204"/>
      <c r="K123" s="204"/>
      <c r="L123" s="204"/>
      <c r="M123" s="215"/>
      <c r="N123" s="204"/>
      <c r="O123" s="204"/>
    </row>
    <row r="124" spans="1:15">
      <c r="A124" s="214"/>
      <c r="B124" s="215"/>
      <c r="C124" s="105" t="s">
        <v>283</v>
      </c>
      <c r="D124" s="216"/>
      <c r="E124" s="23"/>
      <c r="F124" s="348" t="s">
        <v>128</v>
      </c>
      <c r="G124" s="224"/>
      <c r="H124" s="213">
        <f t="shared" ref="H124:H129" si="9">+L124</f>
        <v>723975.15</v>
      </c>
      <c r="I124" s="226"/>
      <c r="J124" s="204">
        <v>517648</v>
      </c>
      <c r="K124" s="204"/>
      <c r="L124" s="204">
        <f t="shared" ref="L124:L129" si="10">+J124+N124-O124</f>
        <v>723975.15</v>
      </c>
      <c r="M124" s="215"/>
      <c r="N124" s="591">
        <v>206327.15</v>
      </c>
      <c r="O124" s="204">
        <v>0</v>
      </c>
    </row>
    <row r="125" spans="1:15">
      <c r="A125" s="214"/>
      <c r="B125" s="215"/>
      <c r="C125" s="218" t="s">
        <v>507</v>
      </c>
      <c r="D125" s="216"/>
      <c r="E125" s="23"/>
      <c r="F125" s="348" t="s">
        <v>129</v>
      </c>
      <c r="G125" s="224"/>
      <c r="H125" s="213">
        <f t="shared" si="9"/>
        <v>29270.760000000009</v>
      </c>
      <c r="I125" s="226"/>
      <c r="J125" s="204">
        <v>1573280</v>
      </c>
      <c r="K125" s="204"/>
      <c r="L125" s="204">
        <f t="shared" si="10"/>
        <v>29270.760000000009</v>
      </c>
      <c r="M125" s="215"/>
      <c r="N125" s="204">
        <v>0</v>
      </c>
      <c r="O125" s="349">
        <v>1544009.24</v>
      </c>
    </row>
    <row r="126" spans="1:15" hidden="1">
      <c r="A126" s="214"/>
      <c r="B126" s="215"/>
      <c r="C126" s="105" t="s">
        <v>1007</v>
      </c>
      <c r="D126" s="216"/>
      <c r="E126" s="23"/>
      <c r="F126" s="348" t="s">
        <v>132</v>
      </c>
      <c r="G126" s="224"/>
      <c r="H126" s="213">
        <f t="shared" si="9"/>
        <v>0</v>
      </c>
      <c r="I126" s="226"/>
      <c r="J126" s="204">
        <v>582000</v>
      </c>
      <c r="K126" s="204"/>
      <c r="L126" s="204">
        <f t="shared" si="10"/>
        <v>0</v>
      </c>
      <c r="M126" s="215"/>
      <c r="N126" s="204">
        <v>0</v>
      </c>
      <c r="O126" s="204">
        <v>582000</v>
      </c>
    </row>
    <row r="127" spans="1:15">
      <c r="A127" s="214"/>
      <c r="B127" s="215"/>
      <c r="C127" s="105" t="s">
        <v>515</v>
      </c>
      <c r="D127" s="216"/>
      <c r="E127" s="23"/>
      <c r="F127" s="348" t="s">
        <v>133</v>
      </c>
      <c r="G127" s="224"/>
      <c r="H127" s="213">
        <f t="shared" si="9"/>
        <v>4826</v>
      </c>
      <c r="I127" s="226"/>
      <c r="J127" s="204">
        <v>588720</v>
      </c>
      <c r="K127" s="204"/>
      <c r="L127" s="204">
        <f t="shared" si="10"/>
        <v>4826</v>
      </c>
      <c r="M127" s="215"/>
      <c r="N127" s="204">
        <v>0</v>
      </c>
      <c r="O127" s="368">
        <v>583894</v>
      </c>
    </row>
    <row r="128" spans="1:15">
      <c r="A128" s="214"/>
      <c r="B128" s="215"/>
      <c r="C128" s="105" t="s">
        <v>336</v>
      </c>
      <c r="D128" s="216"/>
      <c r="E128" s="23"/>
      <c r="F128" s="348" t="s">
        <v>134</v>
      </c>
      <c r="G128" s="224"/>
      <c r="H128" s="213">
        <f t="shared" si="9"/>
        <v>20000</v>
      </c>
      <c r="I128" s="226"/>
      <c r="J128" s="204">
        <v>20000</v>
      </c>
      <c r="K128" s="204"/>
      <c r="L128" s="204">
        <f t="shared" si="10"/>
        <v>20000</v>
      </c>
      <c r="M128" s="215"/>
      <c r="N128" s="204"/>
      <c r="O128" s="204"/>
    </row>
    <row r="129" spans="1:15">
      <c r="A129" s="214"/>
      <c r="B129" s="215"/>
      <c r="C129" s="105" t="s">
        <v>1015</v>
      </c>
      <c r="D129" s="216"/>
      <c r="E129" s="23"/>
      <c r="F129" s="348" t="s">
        <v>135</v>
      </c>
      <c r="G129" s="224"/>
      <c r="H129" s="213">
        <f t="shared" si="9"/>
        <v>64951.100000000093</v>
      </c>
      <c r="I129" s="226"/>
      <c r="J129" s="204">
        <v>2912280</v>
      </c>
      <c r="K129" s="204"/>
      <c r="L129" s="204">
        <f t="shared" si="10"/>
        <v>64951.100000000093</v>
      </c>
      <c r="M129" s="215"/>
      <c r="N129" s="204">
        <v>0</v>
      </c>
      <c r="O129" s="204">
        <v>2847328.9</v>
      </c>
    </row>
    <row r="130" spans="1:15">
      <c r="A130" s="214"/>
      <c r="B130" s="350" t="s">
        <v>508</v>
      </c>
      <c r="C130" s="218"/>
      <c r="D130" s="216"/>
      <c r="E130" s="23"/>
      <c r="F130" s="22" t="s">
        <v>129</v>
      </c>
      <c r="G130" s="224"/>
      <c r="H130" s="213"/>
      <c r="I130" s="226"/>
      <c r="J130" s="204"/>
      <c r="K130" s="204"/>
      <c r="L130" s="204"/>
      <c r="M130" s="215"/>
      <c r="N130" s="204"/>
      <c r="O130" s="204"/>
    </row>
    <row r="131" spans="1:15">
      <c r="A131" s="214"/>
      <c r="B131" s="215"/>
      <c r="C131" s="218" t="s">
        <v>217</v>
      </c>
      <c r="D131" s="216"/>
      <c r="E131" s="23"/>
      <c r="F131" s="24" t="s">
        <v>128</v>
      </c>
      <c r="G131" s="224"/>
      <c r="H131" s="213">
        <f>+L131</f>
        <v>5026</v>
      </c>
      <c r="I131" s="226"/>
      <c r="J131" s="204">
        <v>5026</v>
      </c>
      <c r="K131" s="204"/>
      <c r="L131" s="204">
        <f t="shared" ref="L131:L143" si="11">+J131+N131-O131</f>
        <v>5026</v>
      </c>
      <c r="M131" s="215"/>
      <c r="N131" s="204"/>
      <c r="O131" s="204"/>
    </row>
    <row r="132" spans="1:15">
      <c r="A132" s="214"/>
      <c r="B132" s="215"/>
      <c r="C132" s="218" t="s">
        <v>211</v>
      </c>
      <c r="D132" s="216"/>
      <c r="E132" s="23"/>
      <c r="F132" s="24" t="s">
        <v>129</v>
      </c>
      <c r="G132" s="224"/>
      <c r="H132" s="213">
        <f>+L132</f>
        <v>546</v>
      </c>
      <c r="I132" s="226"/>
      <c r="J132" s="204">
        <v>546</v>
      </c>
      <c r="K132" s="204"/>
      <c r="L132" s="204">
        <f t="shared" si="11"/>
        <v>546</v>
      </c>
      <c r="M132" s="215"/>
      <c r="N132" s="204"/>
      <c r="O132" s="204"/>
    </row>
    <row r="133" spans="1:15">
      <c r="A133" s="214"/>
      <c r="B133" s="215"/>
      <c r="C133" s="218" t="s">
        <v>280</v>
      </c>
      <c r="D133" s="216"/>
      <c r="E133" s="23"/>
      <c r="F133" s="24" t="s">
        <v>132</v>
      </c>
      <c r="G133" s="224"/>
      <c r="H133" s="213">
        <f>+L133</f>
        <v>410</v>
      </c>
      <c r="I133" s="226"/>
      <c r="J133" s="204">
        <v>410</v>
      </c>
      <c r="K133" s="204"/>
      <c r="L133" s="204">
        <f t="shared" si="11"/>
        <v>410</v>
      </c>
      <c r="M133" s="215"/>
      <c r="N133" s="204"/>
      <c r="O133" s="204"/>
    </row>
    <row r="134" spans="1:15" hidden="1">
      <c r="A134" s="214"/>
      <c r="B134" s="215"/>
      <c r="C134" s="105" t="s">
        <v>1113</v>
      </c>
      <c r="D134" s="216"/>
      <c r="E134" s="23"/>
      <c r="F134" s="24" t="s">
        <v>133</v>
      </c>
      <c r="G134" s="224"/>
      <c r="H134" s="213">
        <f>+L134</f>
        <v>0</v>
      </c>
      <c r="I134" s="226"/>
      <c r="J134" s="204">
        <v>0</v>
      </c>
      <c r="K134" s="204"/>
      <c r="L134" s="204">
        <f t="shared" si="11"/>
        <v>0</v>
      </c>
      <c r="M134" s="215"/>
      <c r="N134" s="204"/>
      <c r="O134" s="204"/>
    </row>
    <row r="135" spans="1:15" hidden="1">
      <c r="A135" s="214"/>
      <c r="B135" s="215"/>
      <c r="C135" s="218" t="s">
        <v>1114</v>
      </c>
      <c r="D135" s="216"/>
      <c r="E135" s="23"/>
      <c r="F135" s="24" t="s">
        <v>134</v>
      </c>
      <c r="G135" s="224"/>
      <c r="H135" s="213">
        <f>+L135</f>
        <v>0</v>
      </c>
      <c r="I135" s="226"/>
      <c r="J135" s="204">
        <v>0</v>
      </c>
      <c r="K135" s="204"/>
      <c r="L135" s="204">
        <f t="shared" si="11"/>
        <v>0</v>
      </c>
      <c r="M135" s="215"/>
      <c r="N135" s="204"/>
      <c r="O135" s="204"/>
    </row>
    <row r="136" spans="1:15">
      <c r="A136" s="214"/>
      <c r="B136" s="218"/>
      <c r="C136" s="215"/>
      <c r="D136" s="216"/>
      <c r="E136" s="23"/>
      <c r="F136" s="210"/>
      <c r="G136" s="545"/>
      <c r="H136" s="220">
        <f>SUM(H124:H135)</f>
        <v>849005.01000000013</v>
      </c>
      <c r="I136" s="226">
        <f>+G122-H136</f>
        <v>1.5133991837501526E-9</v>
      </c>
      <c r="J136" s="204">
        <v>0</v>
      </c>
      <c r="K136" s="204"/>
      <c r="L136" s="204">
        <f t="shared" si="11"/>
        <v>0</v>
      </c>
      <c r="M136" s="215"/>
      <c r="N136" s="204"/>
      <c r="O136" s="204"/>
    </row>
    <row r="137" spans="1:15">
      <c r="A137" s="214"/>
      <c r="B137" s="218"/>
      <c r="C137" s="215"/>
      <c r="D137" s="216"/>
      <c r="E137" s="23"/>
      <c r="F137" s="210"/>
      <c r="G137" s="224"/>
      <c r="H137" s="213"/>
      <c r="I137" s="226"/>
      <c r="J137" s="204"/>
      <c r="K137" s="204"/>
      <c r="L137" s="204"/>
      <c r="M137" s="215"/>
      <c r="N137" s="204"/>
      <c r="O137" s="204"/>
    </row>
    <row r="138" spans="1:15">
      <c r="A138" s="238" t="s">
        <v>80</v>
      </c>
      <c r="B138" s="543"/>
      <c r="C138" s="231"/>
      <c r="D138" s="369"/>
      <c r="E138" s="598">
        <v>149</v>
      </c>
      <c r="F138" s="644"/>
      <c r="G138" s="676">
        <f>+TB!C35</f>
        <v>152.09</v>
      </c>
      <c r="H138" s="232"/>
      <c r="I138" s="226"/>
      <c r="J138" s="204">
        <v>0</v>
      </c>
      <c r="K138" s="204"/>
      <c r="L138" s="204">
        <f t="shared" si="11"/>
        <v>0</v>
      </c>
      <c r="M138" s="215"/>
      <c r="N138" s="204"/>
      <c r="O138" s="204"/>
    </row>
    <row r="139" spans="1:15">
      <c r="A139" s="214"/>
      <c r="B139" s="218" t="s">
        <v>0</v>
      </c>
      <c r="C139" s="215"/>
      <c r="D139" s="216"/>
      <c r="E139" s="21"/>
      <c r="F139" s="210"/>
      <c r="G139" s="545"/>
      <c r="H139" s="232">
        <f>+L139</f>
        <v>152.09</v>
      </c>
      <c r="I139" s="226">
        <f>+G138-H139</f>
        <v>0</v>
      </c>
      <c r="J139" s="204">
        <v>152.09</v>
      </c>
      <c r="K139" s="204"/>
      <c r="L139" s="204">
        <f t="shared" si="11"/>
        <v>152.09</v>
      </c>
      <c r="M139" s="215"/>
      <c r="N139" s="204"/>
      <c r="O139" s="204"/>
    </row>
    <row r="140" spans="1:15">
      <c r="A140" s="214"/>
      <c r="B140" s="218"/>
      <c r="C140" s="215"/>
      <c r="D140" s="216"/>
      <c r="E140" s="21"/>
      <c r="F140" s="210"/>
      <c r="G140" s="224"/>
      <c r="H140" s="213"/>
      <c r="I140" s="226"/>
      <c r="J140" s="204"/>
      <c r="K140" s="204"/>
      <c r="L140" s="204"/>
      <c r="M140" s="215"/>
      <c r="N140" s="204"/>
      <c r="O140" s="204"/>
    </row>
    <row r="141" spans="1:15">
      <c r="A141" s="214" t="s">
        <v>25</v>
      </c>
      <c r="B141" s="218"/>
      <c r="C141" s="215"/>
      <c r="D141" s="216"/>
      <c r="E141" s="21">
        <v>155</v>
      </c>
      <c r="F141" s="210"/>
      <c r="G141" s="224">
        <f>+TB!C40</f>
        <v>55961.95</v>
      </c>
      <c r="H141" s="213">
        <f>+L141</f>
        <v>55961.95</v>
      </c>
      <c r="I141" s="226">
        <f>+G141-H141</f>
        <v>0</v>
      </c>
      <c r="J141" s="204">
        <v>55961.95</v>
      </c>
      <c r="K141" s="204"/>
      <c r="L141" s="204">
        <f t="shared" ref="L141" si="12">+J141+N141-O141</f>
        <v>55961.95</v>
      </c>
      <c r="M141" s="215"/>
      <c r="N141" s="204"/>
      <c r="O141" s="204"/>
    </row>
    <row r="142" spans="1:15">
      <c r="A142" s="417" t="s">
        <v>87</v>
      </c>
      <c r="B142" s="218"/>
      <c r="C142" s="215"/>
      <c r="D142" s="215"/>
      <c r="E142" s="21">
        <v>165</v>
      </c>
      <c r="F142" s="210"/>
      <c r="G142" s="545">
        <f>+TB!C50</f>
        <v>1792360</v>
      </c>
      <c r="H142" s="671"/>
      <c r="I142" s="226"/>
      <c r="J142" s="204"/>
      <c r="K142" s="204"/>
      <c r="L142" s="204"/>
      <c r="M142" s="215"/>
      <c r="N142" s="204"/>
      <c r="O142" s="204"/>
    </row>
    <row r="143" spans="1:15">
      <c r="A143" s="214"/>
      <c r="B143" s="218"/>
      <c r="C143" s="215"/>
      <c r="D143" s="216"/>
      <c r="E143" s="21"/>
      <c r="F143" s="348" t="s">
        <v>128</v>
      </c>
      <c r="G143" s="224"/>
      <c r="H143" s="213">
        <f>+L143</f>
        <v>1792360</v>
      </c>
      <c r="I143" s="226">
        <f>+G142-H143</f>
        <v>0</v>
      </c>
      <c r="J143" s="204">
        <v>1792360</v>
      </c>
      <c r="K143" s="204"/>
      <c r="L143" s="204">
        <f t="shared" si="11"/>
        <v>1792360</v>
      </c>
      <c r="M143" s="215"/>
      <c r="N143" s="204"/>
      <c r="O143" s="204"/>
    </row>
    <row r="144" spans="1:15">
      <c r="A144" s="214"/>
      <c r="B144" s="218"/>
      <c r="C144" s="215"/>
      <c r="D144" s="216"/>
      <c r="E144" s="21"/>
      <c r="F144" s="210"/>
      <c r="G144" s="224"/>
      <c r="H144" s="213"/>
      <c r="I144" s="226"/>
      <c r="J144" s="204"/>
      <c r="K144" s="204"/>
      <c r="L144" s="204"/>
      <c r="M144" s="215"/>
      <c r="N144" s="204"/>
      <c r="O144" s="204"/>
    </row>
    <row r="145" spans="1:15">
      <c r="A145" s="214" t="s">
        <v>350</v>
      </c>
      <c r="B145" s="218"/>
      <c r="C145" s="215"/>
      <c r="D145" s="216"/>
      <c r="E145" s="227">
        <v>181</v>
      </c>
      <c r="F145" s="219"/>
      <c r="G145" s="224">
        <f>+TB!C61</f>
        <v>3779668.5200000005</v>
      </c>
      <c r="H145" s="213"/>
      <c r="I145" s="226"/>
      <c r="J145" s="204"/>
      <c r="K145" s="204"/>
      <c r="L145" s="204"/>
      <c r="M145" s="215"/>
      <c r="N145" s="204"/>
      <c r="O145" s="204"/>
    </row>
    <row r="146" spans="1:15">
      <c r="A146" s="214"/>
      <c r="B146" s="218" t="s">
        <v>355</v>
      </c>
      <c r="C146" s="215"/>
      <c r="D146" s="216"/>
      <c r="E146" s="227"/>
      <c r="F146" s="219" t="s">
        <v>128</v>
      </c>
      <c r="G146" s="224"/>
      <c r="H146" s="213">
        <f t="shared" ref="H146:H157" si="13">+L146</f>
        <v>115791.87</v>
      </c>
      <c r="I146" s="226"/>
      <c r="J146" s="204">
        <v>115791.87</v>
      </c>
      <c r="K146" s="204"/>
      <c r="L146" s="204">
        <f t="shared" ref="L146:L157" si="14">+J146+N146-O146</f>
        <v>115791.87</v>
      </c>
      <c r="M146" s="215"/>
      <c r="N146" s="204"/>
      <c r="O146" s="204"/>
    </row>
    <row r="147" spans="1:15" hidden="1">
      <c r="A147" s="214"/>
      <c r="B147" s="105" t="s">
        <v>423</v>
      </c>
      <c r="C147" s="215"/>
      <c r="D147" s="216"/>
      <c r="E147" s="227"/>
      <c r="F147" s="219" t="s">
        <v>129</v>
      </c>
      <c r="G147" s="224"/>
      <c r="H147" s="213">
        <f t="shared" si="13"/>
        <v>0</v>
      </c>
      <c r="I147" s="226"/>
      <c r="J147" s="204">
        <v>0</v>
      </c>
      <c r="K147" s="204"/>
      <c r="L147" s="204">
        <f t="shared" si="14"/>
        <v>0</v>
      </c>
      <c r="M147" s="215"/>
      <c r="N147" s="204"/>
      <c r="O147" s="204"/>
    </row>
    <row r="148" spans="1:15" hidden="1">
      <c r="A148" s="214"/>
      <c r="B148" s="105" t="s">
        <v>1058</v>
      </c>
      <c r="C148" s="215"/>
      <c r="D148" s="216"/>
      <c r="E148" s="227"/>
      <c r="F148" s="219" t="s">
        <v>132</v>
      </c>
      <c r="G148" s="224"/>
      <c r="H148" s="213">
        <f t="shared" si="13"/>
        <v>0</v>
      </c>
      <c r="I148" s="226"/>
      <c r="J148" s="204">
        <v>0</v>
      </c>
      <c r="K148" s="204"/>
      <c r="L148" s="204">
        <f t="shared" si="14"/>
        <v>0</v>
      </c>
      <c r="M148" s="215"/>
      <c r="N148" s="204"/>
      <c r="O148" s="204"/>
    </row>
    <row r="149" spans="1:15" hidden="1">
      <c r="A149" s="214"/>
      <c r="B149" s="105" t="s">
        <v>1059</v>
      </c>
      <c r="C149" s="215"/>
      <c r="D149" s="216"/>
      <c r="E149" s="227"/>
      <c r="F149" s="219" t="s">
        <v>133</v>
      </c>
      <c r="G149" s="224"/>
      <c r="H149" s="213">
        <f t="shared" si="13"/>
        <v>0</v>
      </c>
      <c r="I149" s="226"/>
      <c r="J149" s="204">
        <v>0</v>
      </c>
      <c r="K149" s="204"/>
      <c r="L149" s="204">
        <f t="shared" si="14"/>
        <v>0</v>
      </c>
      <c r="M149" s="215"/>
      <c r="N149" s="204"/>
      <c r="O149" s="204"/>
    </row>
    <row r="150" spans="1:15">
      <c r="A150" s="214"/>
      <c r="B150" s="218" t="s">
        <v>1060</v>
      </c>
      <c r="C150" s="215"/>
      <c r="D150" s="216"/>
      <c r="E150" s="227"/>
      <c r="F150" s="219" t="s">
        <v>134</v>
      </c>
      <c r="G150" s="224"/>
      <c r="H150" s="213">
        <f t="shared" si="13"/>
        <v>273752.02</v>
      </c>
      <c r="I150" s="226"/>
      <c r="J150" s="204">
        <v>273752.02</v>
      </c>
      <c r="K150" s="204"/>
      <c r="L150" s="204">
        <f t="shared" si="14"/>
        <v>273752.02</v>
      </c>
      <c r="M150" s="215"/>
      <c r="N150" s="204"/>
      <c r="O150" s="204"/>
    </row>
    <row r="151" spans="1:15" hidden="1">
      <c r="A151" s="214"/>
      <c r="B151" s="105" t="s">
        <v>1112</v>
      </c>
      <c r="C151" s="215"/>
      <c r="D151" s="216"/>
      <c r="E151" s="227"/>
      <c r="F151" s="348" t="s">
        <v>135</v>
      </c>
      <c r="G151" s="224"/>
      <c r="H151" s="213">
        <f t="shared" si="13"/>
        <v>0</v>
      </c>
      <c r="I151" s="226"/>
      <c r="J151" s="204">
        <v>0</v>
      </c>
      <c r="K151" s="204"/>
      <c r="L151" s="204">
        <f t="shared" si="14"/>
        <v>0</v>
      </c>
      <c r="M151" s="215"/>
      <c r="N151" s="204"/>
      <c r="O151" s="204"/>
    </row>
    <row r="152" spans="1:15">
      <c r="A152" s="214"/>
      <c r="B152" s="105" t="s">
        <v>1130</v>
      </c>
      <c r="C152" s="215"/>
      <c r="D152" s="216"/>
      <c r="E152" s="227"/>
      <c r="F152" s="348" t="s">
        <v>130</v>
      </c>
      <c r="G152" s="224"/>
      <c r="H152" s="213">
        <f t="shared" si="13"/>
        <v>693782.59000000008</v>
      </c>
      <c r="I152" s="226"/>
      <c r="J152" s="204">
        <v>693782.59000000008</v>
      </c>
      <c r="K152" s="204"/>
      <c r="L152" s="204">
        <f t="shared" si="14"/>
        <v>693782.59000000008</v>
      </c>
      <c r="M152" s="215"/>
      <c r="N152" s="204"/>
      <c r="O152" s="204"/>
    </row>
    <row r="153" spans="1:15">
      <c r="A153" s="214"/>
      <c r="B153" s="105" t="s">
        <v>1131</v>
      </c>
      <c r="C153" s="215"/>
      <c r="D153" s="216"/>
      <c r="E153" s="227"/>
      <c r="F153" s="348" t="s">
        <v>136</v>
      </c>
      <c r="G153" s="224"/>
      <c r="H153" s="213">
        <f t="shared" si="13"/>
        <v>347397.05</v>
      </c>
      <c r="I153" s="226"/>
      <c r="J153" s="204">
        <v>347397.05</v>
      </c>
      <c r="K153" s="204"/>
      <c r="L153" s="204">
        <f t="shared" si="14"/>
        <v>347397.05</v>
      </c>
      <c r="M153" s="215"/>
      <c r="N153" s="204"/>
      <c r="O153" s="204"/>
    </row>
    <row r="154" spans="1:15">
      <c r="A154" s="214"/>
      <c r="B154" s="105" t="s">
        <v>1132</v>
      </c>
      <c r="C154" s="215"/>
      <c r="D154" s="216"/>
      <c r="E154" s="227"/>
      <c r="F154" s="348" t="s">
        <v>137</v>
      </c>
      <c r="G154" s="224"/>
      <c r="H154" s="213">
        <f t="shared" si="13"/>
        <v>170651.6</v>
      </c>
      <c r="I154" s="226"/>
      <c r="J154" s="204">
        <v>170651.6</v>
      </c>
      <c r="K154" s="204"/>
      <c r="L154" s="204">
        <f t="shared" si="14"/>
        <v>170651.6</v>
      </c>
      <c r="M154" s="215"/>
      <c r="N154" s="204"/>
      <c r="O154" s="204"/>
    </row>
    <row r="155" spans="1:15">
      <c r="A155" s="214"/>
      <c r="B155" s="105" t="s">
        <v>1139</v>
      </c>
      <c r="C155" s="215"/>
      <c r="D155" s="216"/>
      <c r="E155" s="227"/>
      <c r="F155" s="348" t="s">
        <v>138</v>
      </c>
      <c r="G155" s="224"/>
      <c r="H155" s="213">
        <f t="shared" si="13"/>
        <v>170562.29</v>
      </c>
      <c r="I155" s="226"/>
      <c r="J155" s="204"/>
      <c r="K155" s="204"/>
      <c r="L155" s="204">
        <f t="shared" si="14"/>
        <v>170562.29</v>
      </c>
      <c r="M155" s="215"/>
      <c r="N155" s="204">
        <v>170562.29</v>
      </c>
      <c r="O155" s="204">
        <v>0</v>
      </c>
    </row>
    <row r="156" spans="1:15">
      <c r="A156" s="214"/>
      <c r="B156" s="105" t="s">
        <v>1143</v>
      </c>
      <c r="C156" s="215"/>
      <c r="D156" s="216"/>
      <c r="E156" s="227"/>
      <c r="F156" s="348" t="s">
        <v>139</v>
      </c>
      <c r="G156" s="224"/>
      <c r="H156" s="213">
        <f t="shared" si="13"/>
        <v>1282507.26</v>
      </c>
      <c r="I156" s="226"/>
      <c r="J156" s="204"/>
      <c r="K156" s="204"/>
      <c r="L156" s="204">
        <f t="shared" si="14"/>
        <v>1282507.26</v>
      </c>
      <c r="M156" s="215"/>
      <c r="N156" s="204">
        <v>1282507.26</v>
      </c>
      <c r="O156" s="204">
        <v>0</v>
      </c>
    </row>
    <row r="157" spans="1:15">
      <c r="A157" s="214"/>
      <c r="B157" s="105" t="s">
        <v>1144</v>
      </c>
      <c r="C157" s="215"/>
      <c r="D157" s="216"/>
      <c r="E157" s="227"/>
      <c r="F157" s="348" t="s">
        <v>140</v>
      </c>
      <c r="G157" s="224"/>
      <c r="H157" s="213">
        <f t="shared" si="13"/>
        <v>725223.84</v>
      </c>
      <c r="I157" s="226"/>
      <c r="J157" s="204"/>
      <c r="K157" s="204"/>
      <c r="L157" s="204">
        <f t="shared" si="14"/>
        <v>725223.84</v>
      </c>
      <c r="M157" s="215"/>
      <c r="N157" s="204">
        <v>725223.84</v>
      </c>
      <c r="O157" s="204">
        <v>0</v>
      </c>
    </row>
    <row r="158" spans="1:15">
      <c r="A158" s="214"/>
      <c r="B158" s="218"/>
      <c r="C158" s="215"/>
      <c r="D158" s="216"/>
      <c r="E158" s="21"/>
      <c r="F158" s="219"/>
      <c r="G158" s="224"/>
      <c r="H158" s="220">
        <f>SUM(H146:H157)</f>
        <v>3779668.52</v>
      </c>
      <c r="I158" s="226">
        <f>+G145-H158</f>
        <v>0</v>
      </c>
      <c r="J158" s="204"/>
      <c r="K158" s="204"/>
      <c r="L158" s="204"/>
      <c r="M158" s="215"/>
      <c r="N158" s="204"/>
      <c r="O158" s="204"/>
    </row>
    <row r="159" spans="1:15">
      <c r="A159" s="214"/>
      <c r="B159" s="218"/>
      <c r="C159" s="215"/>
      <c r="D159" s="216"/>
      <c r="E159" s="21"/>
      <c r="F159" s="219"/>
      <c r="G159" s="224"/>
      <c r="H159" s="213"/>
      <c r="I159" s="226"/>
      <c r="J159" s="204"/>
      <c r="K159" s="204"/>
      <c r="L159" s="204"/>
      <c r="M159" s="215"/>
      <c r="N159" s="204"/>
      <c r="O159" s="204"/>
    </row>
    <row r="160" spans="1:15">
      <c r="A160" s="214" t="s">
        <v>356</v>
      </c>
      <c r="B160" s="218"/>
      <c r="C160" s="215"/>
      <c r="D160" s="216"/>
      <c r="E160" s="21">
        <v>201</v>
      </c>
      <c r="F160" s="219"/>
      <c r="G160" s="224">
        <f>+TB!C71</f>
        <v>45000</v>
      </c>
      <c r="H160" s="213">
        <f>+L160</f>
        <v>45000</v>
      </c>
      <c r="I160" s="226">
        <f>+G160-H160</f>
        <v>0</v>
      </c>
      <c r="J160" s="204">
        <v>45000</v>
      </c>
      <c r="K160" s="204"/>
      <c r="L160" s="204">
        <f>+J160+N160-O160</f>
        <v>45000</v>
      </c>
      <c r="M160" s="215"/>
      <c r="N160" s="204"/>
      <c r="O160" s="204"/>
    </row>
    <row r="161" spans="1:15">
      <c r="A161" s="214" t="s">
        <v>27</v>
      </c>
      <c r="B161" s="218"/>
      <c r="C161" s="215"/>
      <c r="D161" s="216"/>
      <c r="E161" s="227">
        <v>202</v>
      </c>
      <c r="F161" s="210"/>
      <c r="G161" s="224">
        <f>+TB!C72</f>
        <v>4038778.11</v>
      </c>
      <c r="H161" s="213">
        <f>+L161</f>
        <v>4038778.11</v>
      </c>
      <c r="I161" s="226">
        <f>+G161-H161</f>
        <v>0</v>
      </c>
      <c r="J161" s="204">
        <v>4038778.11</v>
      </c>
      <c r="K161" s="204"/>
      <c r="L161" s="204">
        <f>+J161+N161-O161</f>
        <v>4038778.11</v>
      </c>
      <c r="M161" s="215"/>
      <c r="N161" s="204"/>
      <c r="O161" s="204"/>
    </row>
    <row r="162" spans="1:15">
      <c r="A162" s="214" t="s">
        <v>358</v>
      </c>
      <c r="B162" s="218"/>
      <c r="C162" s="215"/>
      <c r="D162" s="216"/>
      <c r="E162" s="227">
        <v>205</v>
      </c>
      <c r="F162" s="210"/>
      <c r="G162" s="224">
        <f>+TB!C74</f>
        <v>157176.54999999999</v>
      </c>
      <c r="H162" s="213">
        <f>+L162</f>
        <v>157176.54999999999</v>
      </c>
      <c r="I162" s="226">
        <f>+G162-H162</f>
        <v>0</v>
      </c>
      <c r="J162" s="204">
        <v>157176.54999999999</v>
      </c>
      <c r="K162" s="204"/>
      <c r="L162" s="204">
        <f>+J162+N162-O162</f>
        <v>157176.54999999999</v>
      </c>
      <c r="M162" s="215"/>
      <c r="N162" s="204"/>
      <c r="O162" s="204"/>
    </row>
    <row r="163" spans="1:15">
      <c r="A163" s="214" t="s">
        <v>28</v>
      </c>
      <c r="B163" s="218"/>
      <c r="C163" s="215"/>
      <c r="D163" s="216"/>
      <c r="E163" s="227">
        <v>211</v>
      </c>
      <c r="F163" s="210"/>
      <c r="G163" s="224">
        <f>+TB!C76</f>
        <v>432196.28</v>
      </c>
      <c r="H163" s="213">
        <f>+L163</f>
        <v>432196.28</v>
      </c>
      <c r="I163" s="226">
        <f>+G163-H163</f>
        <v>0</v>
      </c>
      <c r="J163" s="204">
        <v>432196.28</v>
      </c>
      <c r="K163" s="204"/>
      <c r="L163" s="204">
        <f>+J163+N163-O163</f>
        <v>432196.28</v>
      </c>
      <c r="M163" s="215"/>
      <c r="N163" s="204"/>
      <c r="O163" s="204"/>
    </row>
    <row r="164" spans="1:15">
      <c r="A164" s="214" t="s">
        <v>29</v>
      </c>
      <c r="B164" s="218"/>
      <c r="C164" s="215"/>
      <c r="D164" s="216"/>
      <c r="E164" s="227">
        <v>212</v>
      </c>
      <c r="F164" s="22"/>
      <c r="G164" s="224">
        <f>+TB!C78</f>
        <v>35073578.539999999</v>
      </c>
      <c r="H164" s="213"/>
      <c r="I164" s="226"/>
      <c r="J164" s="204"/>
      <c r="K164" s="204"/>
      <c r="L164" s="204"/>
      <c r="M164" s="215"/>
      <c r="N164" s="204"/>
      <c r="O164" s="204"/>
    </row>
    <row r="165" spans="1:15">
      <c r="A165" s="214"/>
      <c r="B165" s="215"/>
      <c r="C165" s="215"/>
      <c r="D165" s="215"/>
      <c r="E165" s="674"/>
      <c r="F165" s="22" t="s">
        <v>128</v>
      </c>
      <c r="G165" s="216"/>
      <c r="H165" s="213">
        <f>+L165</f>
        <v>3527656.51</v>
      </c>
      <c r="I165" s="226"/>
      <c r="J165" s="204">
        <v>3527656.51</v>
      </c>
      <c r="K165" s="204"/>
      <c r="L165" s="204">
        <f t="shared" ref="L165:L176" si="15">+J165+N165-O165</f>
        <v>3527656.51</v>
      </c>
      <c r="M165" s="215"/>
      <c r="N165" s="204"/>
      <c r="O165" s="204"/>
    </row>
    <row r="166" spans="1:15">
      <c r="A166" s="214"/>
      <c r="B166" s="218" t="s">
        <v>426</v>
      </c>
      <c r="C166" s="215"/>
      <c r="D166" s="216"/>
      <c r="E166" s="227"/>
      <c r="F166" s="22" t="s">
        <v>129</v>
      </c>
      <c r="G166" s="224"/>
      <c r="H166" s="213"/>
      <c r="I166" s="226"/>
      <c r="J166" s="204">
        <v>0</v>
      </c>
      <c r="K166" s="204"/>
      <c r="L166" s="204">
        <f t="shared" si="15"/>
        <v>0</v>
      </c>
      <c r="M166" s="215"/>
      <c r="N166" s="204"/>
      <c r="O166" s="204"/>
    </row>
    <row r="167" spans="1:15">
      <c r="A167" s="214"/>
      <c r="B167" s="218" t="s">
        <v>359</v>
      </c>
      <c r="C167" s="215"/>
      <c r="D167" s="216"/>
      <c r="E167" s="227"/>
      <c r="F167" s="219" t="s">
        <v>128</v>
      </c>
      <c r="G167" s="224"/>
      <c r="H167" s="213">
        <f t="shared" ref="H167:H199" si="16">+L167</f>
        <v>783500.72</v>
      </c>
      <c r="I167" s="226"/>
      <c r="J167" s="204">
        <v>783500.72</v>
      </c>
      <c r="K167" s="204"/>
      <c r="L167" s="204">
        <f t="shared" si="15"/>
        <v>783500.72</v>
      </c>
      <c r="M167" s="215"/>
      <c r="N167" s="204"/>
      <c r="O167" s="204"/>
    </row>
    <row r="168" spans="1:15">
      <c r="A168" s="214"/>
      <c r="B168" s="57" t="s">
        <v>360</v>
      </c>
      <c r="C168" s="215"/>
      <c r="D168" s="216"/>
      <c r="E168" s="227"/>
      <c r="F168" s="219" t="s">
        <v>129</v>
      </c>
      <c r="G168" s="224"/>
      <c r="H168" s="213">
        <f t="shared" si="16"/>
        <v>782300.53</v>
      </c>
      <c r="I168" s="226"/>
      <c r="J168" s="204">
        <v>782300.53</v>
      </c>
      <c r="K168" s="204"/>
      <c r="L168" s="204">
        <f t="shared" si="15"/>
        <v>782300.53</v>
      </c>
      <c r="M168" s="215"/>
      <c r="N168" s="204"/>
      <c r="O168" s="204"/>
    </row>
    <row r="169" spans="1:15">
      <c r="A169" s="214"/>
      <c r="B169" s="218" t="s">
        <v>367</v>
      </c>
      <c r="C169" s="215"/>
      <c r="D169" s="216"/>
      <c r="E169" s="227"/>
      <c r="F169" s="24" t="s">
        <v>132</v>
      </c>
      <c r="G169" s="224"/>
      <c r="H169" s="213">
        <f t="shared" si="16"/>
        <v>783500.72</v>
      </c>
      <c r="I169" s="226"/>
      <c r="J169" s="204">
        <v>783500.72</v>
      </c>
      <c r="K169" s="204"/>
      <c r="L169" s="204">
        <f t="shared" si="15"/>
        <v>783500.72</v>
      </c>
      <c r="M169" s="215"/>
      <c r="N169" s="204"/>
      <c r="O169" s="204"/>
    </row>
    <row r="170" spans="1:15">
      <c r="A170" s="214"/>
      <c r="B170" s="218" t="s">
        <v>425</v>
      </c>
      <c r="C170" s="215"/>
      <c r="D170" s="216"/>
      <c r="E170" s="227"/>
      <c r="F170" s="24" t="s">
        <v>133</v>
      </c>
      <c r="G170" s="224"/>
      <c r="H170" s="213">
        <f t="shared" si="16"/>
        <v>780433.33</v>
      </c>
      <c r="I170" s="226"/>
      <c r="J170" s="204">
        <v>780433.33</v>
      </c>
      <c r="K170" s="204"/>
      <c r="L170" s="204">
        <f t="shared" si="15"/>
        <v>780433.33</v>
      </c>
      <c r="M170" s="215"/>
      <c r="N170" s="204"/>
      <c r="O170" s="204"/>
    </row>
    <row r="171" spans="1:15">
      <c r="A171" s="214"/>
      <c r="B171" s="105" t="s">
        <v>450</v>
      </c>
      <c r="C171" s="215"/>
      <c r="D171" s="216"/>
      <c r="E171" s="227"/>
      <c r="F171" s="24" t="s">
        <v>134</v>
      </c>
      <c r="G171" s="224"/>
      <c r="H171" s="213">
        <f>+L171</f>
        <v>799912.29</v>
      </c>
      <c r="I171" s="226"/>
      <c r="J171" s="204">
        <v>799912.29</v>
      </c>
      <c r="K171" s="204"/>
      <c r="L171" s="204">
        <f t="shared" si="15"/>
        <v>799912.29</v>
      </c>
      <c r="M171" s="215"/>
      <c r="N171" s="204"/>
      <c r="O171" s="204"/>
    </row>
    <row r="172" spans="1:15">
      <c r="A172" s="214"/>
      <c r="B172" s="105" t="s">
        <v>452</v>
      </c>
      <c r="C172" s="215"/>
      <c r="D172" s="216"/>
      <c r="E172" s="227"/>
      <c r="F172" s="24" t="s">
        <v>135</v>
      </c>
      <c r="G172" s="224"/>
      <c r="H172" s="213">
        <f t="shared" si="16"/>
        <v>798744.85</v>
      </c>
      <c r="I172" s="226"/>
      <c r="J172" s="204">
        <v>798744.85</v>
      </c>
      <c r="K172" s="204"/>
      <c r="L172" s="204">
        <f t="shared" si="15"/>
        <v>798744.85</v>
      </c>
      <c r="M172" s="215"/>
      <c r="N172" s="204"/>
      <c r="O172" s="204"/>
    </row>
    <row r="173" spans="1:15">
      <c r="A173" s="214"/>
      <c r="B173" s="105" t="s">
        <v>455</v>
      </c>
      <c r="C173" s="215"/>
      <c r="D173" s="216"/>
      <c r="E173" s="227"/>
      <c r="F173" s="348" t="s">
        <v>130</v>
      </c>
      <c r="G173" s="224"/>
      <c r="H173" s="213">
        <f t="shared" si="16"/>
        <v>795499.38</v>
      </c>
      <c r="I173" s="226"/>
      <c r="J173" s="204">
        <v>795499.38</v>
      </c>
      <c r="K173" s="204"/>
      <c r="L173" s="204">
        <f t="shared" si="15"/>
        <v>795499.38</v>
      </c>
      <c r="M173" s="215"/>
      <c r="N173" s="204"/>
      <c r="O173" s="204"/>
    </row>
    <row r="174" spans="1:15">
      <c r="A174" s="214"/>
      <c r="B174" s="218" t="s">
        <v>374</v>
      </c>
      <c r="C174" s="215"/>
      <c r="D174" s="216"/>
      <c r="E174" s="227"/>
      <c r="F174" s="22" t="s">
        <v>132</v>
      </c>
      <c r="G174" s="224"/>
      <c r="H174" s="213">
        <f t="shared" si="16"/>
        <v>2376126.17</v>
      </c>
      <c r="I174" s="226"/>
      <c r="J174" s="204">
        <v>2376126.17</v>
      </c>
      <c r="K174" s="204"/>
      <c r="L174" s="204">
        <f t="shared" si="15"/>
        <v>2376126.17</v>
      </c>
      <c r="M174" s="215"/>
      <c r="N174" s="204"/>
      <c r="O174" s="204"/>
    </row>
    <row r="175" spans="1:15">
      <c r="A175" s="214"/>
      <c r="B175" s="218" t="s">
        <v>376</v>
      </c>
      <c r="C175" s="215"/>
      <c r="D175" s="216"/>
      <c r="E175" s="227"/>
      <c r="F175" s="22" t="s">
        <v>133</v>
      </c>
      <c r="G175" s="224"/>
      <c r="H175" s="213">
        <f t="shared" si="16"/>
        <v>2382882.7799999998</v>
      </c>
      <c r="I175" s="226"/>
      <c r="J175" s="204">
        <v>2382882.7799999998</v>
      </c>
      <c r="K175" s="204"/>
      <c r="L175" s="204">
        <f t="shared" si="15"/>
        <v>2382882.7799999998</v>
      </c>
      <c r="M175" s="215"/>
      <c r="N175" s="204"/>
      <c r="O175" s="204"/>
    </row>
    <row r="176" spans="1:15">
      <c r="A176" s="214"/>
      <c r="B176" s="218" t="s">
        <v>427</v>
      </c>
      <c r="C176" s="215"/>
      <c r="D176" s="216"/>
      <c r="E176" s="227"/>
      <c r="F176" s="22" t="s">
        <v>134</v>
      </c>
      <c r="G176" s="224"/>
      <c r="H176" s="213">
        <f t="shared" si="16"/>
        <v>775312.66</v>
      </c>
      <c r="I176" s="226"/>
      <c r="J176" s="204">
        <v>775312.66</v>
      </c>
      <c r="K176" s="204"/>
      <c r="L176" s="204">
        <f t="shared" si="15"/>
        <v>775312.66</v>
      </c>
      <c r="M176" s="215"/>
      <c r="N176" s="204"/>
      <c r="O176" s="204"/>
    </row>
    <row r="177" spans="1:15">
      <c r="A177" s="214"/>
      <c r="B177" s="218"/>
      <c r="C177" s="215"/>
      <c r="D177" s="216"/>
      <c r="E177" s="227"/>
      <c r="F177" s="22"/>
      <c r="G177" s="224"/>
      <c r="H177" s="213"/>
      <c r="I177" s="226"/>
      <c r="J177" s="204"/>
      <c r="K177" s="204"/>
      <c r="L177" s="204"/>
      <c r="M177" s="215"/>
      <c r="N177" s="204"/>
      <c r="O177" s="204"/>
    </row>
    <row r="178" spans="1:15">
      <c r="A178" s="214"/>
      <c r="B178" s="218" t="s">
        <v>431</v>
      </c>
      <c r="C178" s="215"/>
      <c r="D178" s="216"/>
      <c r="E178" s="227"/>
      <c r="F178" s="22" t="s">
        <v>135</v>
      </c>
      <c r="G178" s="224"/>
      <c r="H178" s="213"/>
      <c r="I178" s="226"/>
      <c r="J178" s="204">
        <v>0</v>
      </c>
      <c r="K178" s="204"/>
      <c r="L178" s="204">
        <f t="shared" ref="L178:L198" si="17">+J178+N178-O178</f>
        <v>0</v>
      </c>
      <c r="M178" s="215"/>
      <c r="N178" s="204"/>
      <c r="O178" s="204"/>
    </row>
    <row r="179" spans="1:15">
      <c r="A179" s="214"/>
      <c r="B179" s="218"/>
      <c r="C179" s="215" t="s">
        <v>432</v>
      </c>
      <c r="D179" s="216"/>
      <c r="E179" s="227"/>
      <c r="F179" s="24" t="s">
        <v>128</v>
      </c>
      <c r="G179" s="224"/>
      <c r="H179" s="213">
        <f t="shared" si="16"/>
        <v>779336</v>
      </c>
      <c r="I179" s="226"/>
      <c r="J179" s="204">
        <v>779336</v>
      </c>
      <c r="K179" s="204"/>
      <c r="L179" s="204">
        <f t="shared" si="17"/>
        <v>779336</v>
      </c>
      <c r="M179" s="215"/>
      <c r="N179" s="204"/>
      <c r="O179" s="204"/>
    </row>
    <row r="180" spans="1:15">
      <c r="A180" s="214"/>
      <c r="B180" s="218"/>
      <c r="C180" s="215" t="s">
        <v>433</v>
      </c>
      <c r="D180" s="216"/>
      <c r="E180" s="227"/>
      <c r="F180" s="24" t="s">
        <v>129</v>
      </c>
      <c r="G180" s="224"/>
      <c r="H180" s="213">
        <f t="shared" si="16"/>
        <v>779336</v>
      </c>
      <c r="I180" s="226"/>
      <c r="J180" s="204">
        <v>779336</v>
      </c>
      <c r="K180" s="204"/>
      <c r="L180" s="204">
        <f t="shared" si="17"/>
        <v>779336</v>
      </c>
      <c r="M180" s="215"/>
      <c r="N180" s="204"/>
      <c r="O180" s="204"/>
    </row>
    <row r="181" spans="1:15">
      <c r="A181" s="214"/>
      <c r="B181" s="218"/>
      <c r="C181" s="215" t="s">
        <v>434</v>
      </c>
      <c r="D181" s="216"/>
      <c r="E181" s="227"/>
      <c r="F181" s="24" t="s">
        <v>132</v>
      </c>
      <c r="G181" s="224"/>
      <c r="H181" s="213">
        <f t="shared" si="16"/>
        <v>779336</v>
      </c>
      <c r="I181" s="226"/>
      <c r="J181" s="204">
        <v>779336</v>
      </c>
      <c r="K181" s="204"/>
      <c r="L181" s="204">
        <f t="shared" si="17"/>
        <v>779336</v>
      </c>
      <c r="M181" s="215"/>
      <c r="N181" s="204"/>
      <c r="O181" s="204"/>
    </row>
    <row r="182" spans="1:15">
      <c r="A182" s="214"/>
      <c r="B182" s="218"/>
      <c r="C182" s="218" t="s">
        <v>435</v>
      </c>
      <c r="D182" s="216"/>
      <c r="E182" s="227"/>
      <c r="F182" s="24" t="s">
        <v>133</v>
      </c>
      <c r="G182" s="224"/>
      <c r="H182" s="213">
        <f t="shared" si="16"/>
        <v>779336</v>
      </c>
      <c r="I182" s="226"/>
      <c r="J182" s="204">
        <v>779336</v>
      </c>
      <c r="K182" s="204"/>
      <c r="L182" s="204">
        <f t="shared" si="17"/>
        <v>779336</v>
      </c>
      <c r="M182" s="215"/>
      <c r="N182" s="204"/>
      <c r="O182" s="204"/>
    </row>
    <row r="183" spans="1:15">
      <c r="A183" s="214"/>
      <c r="B183" s="218"/>
      <c r="C183" s="218" t="s">
        <v>436</v>
      </c>
      <c r="D183" s="216"/>
      <c r="E183" s="227"/>
      <c r="F183" s="24" t="s">
        <v>134</v>
      </c>
      <c r="G183" s="224"/>
      <c r="H183" s="213">
        <f t="shared" si="16"/>
        <v>779336</v>
      </c>
      <c r="I183" s="226"/>
      <c r="J183" s="204">
        <v>779336</v>
      </c>
      <c r="K183" s="204"/>
      <c r="L183" s="204">
        <f t="shared" si="17"/>
        <v>779336</v>
      </c>
      <c r="M183" s="215"/>
      <c r="N183" s="204"/>
      <c r="O183" s="204"/>
    </row>
    <row r="184" spans="1:15">
      <c r="A184" s="214"/>
      <c r="B184" s="218"/>
      <c r="C184" s="218" t="s">
        <v>437</v>
      </c>
      <c r="D184" s="216"/>
      <c r="E184" s="227"/>
      <c r="F184" s="24" t="s">
        <v>135</v>
      </c>
      <c r="G184" s="224"/>
      <c r="H184" s="213">
        <f t="shared" si="16"/>
        <v>779336</v>
      </c>
      <c r="I184" s="226"/>
      <c r="J184" s="204">
        <v>779336</v>
      </c>
      <c r="K184" s="204"/>
      <c r="L184" s="204">
        <f t="shared" si="17"/>
        <v>779336</v>
      </c>
      <c r="M184" s="215"/>
      <c r="N184" s="204"/>
      <c r="O184" s="204"/>
    </row>
    <row r="185" spans="1:15">
      <c r="A185" s="214"/>
      <c r="B185" s="218"/>
      <c r="C185" s="218" t="s">
        <v>438</v>
      </c>
      <c r="D185" s="216"/>
      <c r="E185" s="227"/>
      <c r="F185" s="24" t="s">
        <v>130</v>
      </c>
      <c r="G185" s="224"/>
      <c r="H185" s="213">
        <f t="shared" si="16"/>
        <v>779336</v>
      </c>
      <c r="I185" s="226"/>
      <c r="J185" s="204">
        <v>779336</v>
      </c>
      <c r="K185" s="204"/>
      <c r="L185" s="204">
        <f t="shared" si="17"/>
        <v>779336</v>
      </c>
      <c r="M185" s="215"/>
      <c r="N185" s="204"/>
      <c r="O185" s="204"/>
    </row>
    <row r="186" spans="1:15">
      <c r="A186" s="214"/>
      <c r="B186" s="218"/>
      <c r="C186" s="105" t="s">
        <v>464</v>
      </c>
      <c r="D186" s="216"/>
      <c r="E186" s="227"/>
      <c r="F186" s="24" t="s">
        <v>136</v>
      </c>
      <c r="G186" s="224"/>
      <c r="H186" s="213">
        <f t="shared" si="16"/>
        <v>765000</v>
      </c>
      <c r="I186" s="226"/>
      <c r="J186" s="204">
        <v>765000</v>
      </c>
      <c r="K186" s="204"/>
      <c r="L186" s="204">
        <f t="shared" si="17"/>
        <v>765000</v>
      </c>
      <c r="M186" s="215"/>
      <c r="N186" s="204"/>
      <c r="O186" s="204"/>
    </row>
    <row r="187" spans="1:15">
      <c r="A187" s="214"/>
      <c r="B187" s="218"/>
      <c r="C187" s="105" t="s">
        <v>465</v>
      </c>
      <c r="D187" s="216"/>
      <c r="E187" s="227"/>
      <c r="F187" s="24" t="s">
        <v>137</v>
      </c>
      <c r="G187" s="224"/>
      <c r="H187" s="213">
        <f t="shared" si="16"/>
        <v>765000</v>
      </c>
      <c r="I187" s="226"/>
      <c r="J187" s="204">
        <v>765000</v>
      </c>
      <c r="K187" s="204"/>
      <c r="L187" s="204">
        <f t="shared" si="17"/>
        <v>765000</v>
      </c>
      <c r="M187" s="215"/>
      <c r="N187" s="204"/>
      <c r="O187" s="204"/>
    </row>
    <row r="188" spans="1:15">
      <c r="A188" s="214"/>
      <c r="B188" s="218"/>
      <c r="C188" s="105" t="s">
        <v>466</v>
      </c>
      <c r="D188" s="216"/>
      <c r="E188" s="227"/>
      <c r="F188" s="24" t="s">
        <v>138</v>
      </c>
      <c r="G188" s="224"/>
      <c r="H188" s="213">
        <f t="shared" si="16"/>
        <v>765000</v>
      </c>
      <c r="I188" s="226"/>
      <c r="J188" s="204">
        <v>765000</v>
      </c>
      <c r="K188" s="204"/>
      <c r="L188" s="204">
        <f t="shared" si="17"/>
        <v>765000</v>
      </c>
      <c r="M188" s="215"/>
      <c r="N188" s="204"/>
      <c r="O188" s="204"/>
    </row>
    <row r="189" spans="1:15">
      <c r="A189" s="214"/>
      <c r="B189" s="218"/>
      <c r="C189" s="105" t="s">
        <v>467</v>
      </c>
      <c r="D189" s="216"/>
      <c r="E189" s="227"/>
      <c r="F189" s="24" t="s">
        <v>139</v>
      </c>
      <c r="G189" s="224"/>
      <c r="H189" s="213">
        <f t="shared" si="16"/>
        <v>765000</v>
      </c>
      <c r="I189" s="226"/>
      <c r="J189" s="204">
        <v>765000</v>
      </c>
      <c r="K189" s="204"/>
      <c r="L189" s="204">
        <f t="shared" si="17"/>
        <v>765000</v>
      </c>
      <c r="M189" s="215"/>
      <c r="N189" s="204"/>
      <c r="O189" s="204"/>
    </row>
    <row r="190" spans="1:15">
      <c r="A190" s="214"/>
      <c r="B190" s="218"/>
      <c r="C190" s="105" t="s">
        <v>468</v>
      </c>
      <c r="D190" s="216"/>
      <c r="E190" s="227"/>
      <c r="F190" s="24" t="s">
        <v>140</v>
      </c>
      <c r="G190" s="224"/>
      <c r="H190" s="213">
        <f t="shared" si="16"/>
        <v>765000</v>
      </c>
      <c r="I190" s="226"/>
      <c r="J190" s="204">
        <v>765000</v>
      </c>
      <c r="K190" s="204"/>
      <c r="L190" s="204">
        <f t="shared" si="17"/>
        <v>765000</v>
      </c>
      <c r="M190" s="215"/>
      <c r="N190" s="204"/>
      <c r="O190" s="204"/>
    </row>
    <row r="191" spans="1:15">
      <c r="A191" s="214"/>
      <c r="B191" s="218"/>
      <c r="C191" s="105" t="s">
        <v>395</v>
      </c>
      <c r="D191" s="216"/>
      <c r="E191" s="227"/>
      <c r="F191" s="24" t="s">
        <v>141</v>
      </c>
      <c r="G191" s="224"/>
      <c r="H191" s="213">
        <f t="shared" si="16"/>
        <v>765000</v>
      </c>
      <c r="I191" s="226"/>
      <c r="J191" s="204">
        <v>765000</v>
      </c>
      <c r="K191" s="204"/>
      <c r="L191" s="204">
        <f t="shared" si="17"/>
        <v>765000</v>
      </c>
      <c r="M191" s="215"/>
      <c r="N191" s="204"/>
      <c r="O191" s="204"/>
    </row>
    <row r="192" spans="1:15">
      <c r="A192" s="214"/>
      <c r="B192" s="218"/>
      <c r="C192" s="105" t="s">
        <v>469</v>
      </c>
      <c r="D192" s="216"/>
      <c r="E192" s="227"/>
      <c r="F192" s="24" t="s">
        <v>142</v>
      </c>
      <c r="G192" s="224"/>
      <c r="H192" s="213">
        <f t="shared" si="16"/>
        <v>765000</v>
      </c>
      <c r="I192" s="226"/>
      <c r="J192" s="204">
        <v>765000</v>
      </c>
      <c r="K192" s="204"/>
      <c r="L192" s="204">
        <f t="shared" si="17"/>
        <v>765000</v>
      </c>
      <c r="M192" s="215"/>
      <c r="N192" s="204"/>
      <c r="O192" s="204"/>
    </row>
    <row r="193" spans="1:17">
      <c r="A193" s="214"/>
      <c r="B193" s="57" t="s">
        <v>460</v>
      </c>
      <c r="C193" s="218"/>
      <c r="D193" s="216"/>
      <c r="E193" s="227"/>
      <c r="F193" s="22" t="s">
        <v>130</v>
      </c>
      <c r="G193" s="224"/>
      <c r="H193" s="213">
        <f t="shared" si="16"/>
        <v>518423.7</v>
      </c>
      <c r="I193" s="226"/>
      <c r="J193" s="204">
        <v>518423.7</v>
      </c>
      <c r="K193" s="204"/>
      <c r="L193" s="204">
        <f t="shared" si="17"/>
        <v>518423.7</v>
      </c>
      <c r="M193" s="215"/>
      <c r="N193" s="204"/>
      <c r="O193" s="204"/>
    </row>
    <row r="194" spans="1:17">
      <c r="A194" s="214"/>
      <c r="B194" s="57" t="s">
        <v>908</v>
      </c>
      <c r="C194" s="218"/>
      <c r="D194" s="216"/>
      <c r="E194" s="227"/>
      <c r="F194" s="22" t="s">
        <v>136</v>
      </c>
      <c r="G194" s="224"/>
      <c r="H194" s="213">
        <f t="shared" si="16"/>
        <v>3494539.19</v>
      </c>
      <c r="I194" s="226"/>
      <c r="J194" s="204">
        <v>3494539.19</v>
      </c>
      <c r="K194" s="204"/>
      <c r="L194" s="204">
        <f t="shared" si="17"/>
        <v>3494539.19</v>
      </c>
      <c r="M194" s="215"/>
      <c r="N194" s="204"/>
      <c r="O194" s="204"/>
    </row>
    <row r="195" spans="1:17">
      <c r="A195" s="214"/>
      <c r="B195" s="57" t="s">
        <v>1121</v>
      </c>
      <c r="C195" s="218"/>
      <c r="D195" s="216"/>
      <c r="E195" s="227"/>
      <c r="F195" s="22" t="s">
        <v>137</v>
      </c>
      <c r="G195" s="224"/>
      <c r="H195" s="213">
        <f t="shared" si="16"/>
        <v>1135096.7</v>
      </c>
      <c r="I195" s="226"/>
      <c r="J195" s="204">
        <v>1135096.7</v>
      </c>
      <c r="K195" s="204"/>
      <c r="L195" s="204">
        <f t="shared" si="17"/>
        <v>1135096.7</v>
      </c>
      <c r="M195" s="215"/>
      <c r="N195" s="204"/>
      <c r="O195" s="204"/>
    </row>
    <row r="196" spans="1:17">
      <c r="A196" s="214"/>
      <c r="B196" s="57" t="s">
        <v>1122</v>
      </c>
      <c r="C196" s="218"/>
      <c r="D196" s="216"/>
      <c r="E196" s="227"/>
      <c r="F196" s="22" t="s">
        <v>138</v>
      </c>
      <c r="G196" s="224"/>
      <c r="H196" s="213">
        <f t="shared" si="16"/>
        <v>1126825.8899999999</v>
      </c>
      <c r="I196" s="226"/>
      <c r="J196" s="204">
        <v>1126825.8899999999</v>
      </c>
      <c r="K196" s="204"/>
      <c r="L196" s="204">
        <f t="shared" si="17"/>
        <v>1126825.8899999999</v>
      </c>
      <c r="M196" s="215"/>
      <c r="N196" s="204"/>
      <c r="O196" s="204"/>
    </row>
    <row r="197" spans="1:17">
      <c r="A197" s="214"/>
      <c r="B197" s="57" t="s">
        <v>1103</v>
      </c>
      <c r="C197" s="218"/>
      <c r="D197" s="216"/>
      <c r="E197" s="227"/>
      <c r="F197" s="22" t="s">
        <v>139</v>
      </c>
      <c r="G197" s="224"/>
      <c r="H197" s="213">
        <f t="shared" si="16"/>
        <v>1133107.43</v>
      </c>
      <c r="I197" s="226"/>
      <c r="J197" s="204">
        <v>1133107.43</v>
      </c>
      <c r="K197" s="204"/>
      <c r="L197" s="204">
        <f t="shared" si="17"/>
        <v>1133107.43</v>
      </c>
      <c r="M197" s="215"/>
      <c r="N197" s="204"/>
      <c r="O197" s="204"/>
    </row>
    <row r="198" spans="1:17">
      <c r="A198" s="214"/>
      <c r="B198" s="57" t="s">
        <v>1072</v>
      </c>
      <c r="C198" s="218"/>
      <c r="D198" s="216"/>
      <c r="E198" s="227"/>
      <c r="F198" s="22" t="s">
        <v>140</v>
      </c>
      <c r="G198" s="224"/>
      <c r="H198" s="213">
        <f t="shared" si="16"/>
        <v>1134952.76</v>
      </c>
      <c r="I198" s="226"/>
      <c r="J198" s="204">
        <v>1134952.76</v>
      </c>
      <c r="K198" s="204"/>
      <c r="L198" s="204">
        <f t="shared" si="17"/>
        <v>1134952.76</v>
      </c>
      <c r="M198" s="215"/>
      <c r="N198" s="204"/>
      <c r="O198" s="204"/>
    </row>
    <row r="199" spans="1:17">
      <c r="A199" s="214"/>
      <c r="B199" s="57" t="s">
        <v>1073</v>
      </c>
      <c r="C199" s="218"/>
      <c r="D199" s="216"/>
      <c r="E199" s="227"/>
      <c r="F199" s="22" t="s">
        <v>141</v>
      </c>
      <c r="G199" s="224"/>
      <c r="H199" s="213">
        <f t="shared" si="16"/>
        <v>1134410.93</v>
      </c>
      <c r="I199" s="226"/>
      <c r="J199" s="204">
        <v>1134410.93</v>
      </c>
      <c r="K199" s="204"/>
      <c r="L199" s="204">
        <f t="shared" ref="L199" si="18">+J199+N199-O199</f>
        <v>1134410.93</v>
      </c>
      <c r="M199" s="215"/>
      <c r="N199" s="204"/>
      <c r="O199" s="204"/>
    </row>
    <row r="200" spans="1:17">
      <c r="A200" s="214"/>
      <c r="B200" s="218"/>
      <c r="C200" s="215"/>
      <c r="D200" s="216"/>
      <c r="E200" s="227"/>
      <c r="F200" s="219"/>
      <c r="G200" s="545"/>
      <c r="H200" s="220">
        <f>SUM(H165:H199)</f>
        <v>35073578.539999999</v>
      </c>
      <c r="I200" s="226">
        <f>+G164-H200</f>
        <v>0</v>
      </c>
      <c r="J200" s="204"/>
      <c r="K200" s="204"/>
      <c r="L200" s="204"/>
      <c r="M200" s="215"/>
      <c r="N200" s="204"/>
      <c r="O200" s="204"/>
    </row>
    <row r="201" spans="1:17">
      <c r="A201" s="214" t="s">
        <v>366</v>
      </c>
      <c r="B201" s="218"/>
      <c r="C201" s="215"/>
      <c r="D201" s="216"/>
      <c r="E201" s="227">
        <v>312</v>
      </c>
      <c r="F201" s="219"/>
      <c r="G201" s="545">
        <f>+TB!E79</f>
        <v>3253692.2500000009</v>
      </c>
      <c r="H201" s="213"/>
      <c r="I201" s="226"/>
      <c r="J201" s="204"/>
      <c r="K201" s="204"/>
      <c r="L201" s="204"/>
      <c r="M201" s="215"/>
      <c r="N201" s="204"/>
      <c r="O201" s="204"/>
    </row>
    <row r="202" spans="1:17">
      <c r="A202" s="214"/>
      <c r="B202" s="218"/>
      <c r="C202" s="215"/>
      <c r="D202" s="216"/>
      <c r="E202" s="227"/>
      <c r="F202" s="22" t="s">
        <v>128</v>
      </c>
      <c r="G202" s="545"/>
      <c r="H202" s="213"/>
      <c r="I202" s="226"/>
      <c r="J202" s="204"/>
      <c r="K202" s="204"/>
      <c r="L202" s="204"/>
      <c r="M202" s="215"/>
      <c r="N202" s="204"/>
      <c r="O202" s="204"/>
    </row>
    <row r="203" spans="1:17">
      <c r="A203" s="238"/>
      <c r="B203" s="543" t="s">
        <v>359</v>
      </c>
      <c r="C203" s="231"/>
      <c r="D203" s="369"/>
      <c r="E203" s="544"/>
      <c r="F203" s="668" t="s">
        <v>128</v>
      </c>
      <c r="G203" s="676"/>
      <c r="H203" s="232">
        <f t="shared" ref="H203:H234" si="19">+L203</f>
        <v>121442.5</v>
      </c>
      <c r="I203" s="226"/>
      <c r="J203" s="204">
        <v>119483.75</v>
      </c>
      <c r="K203" s="204"/>
      <c r="L203" s="204">
        <f t="shared" ref="L203:L234" si="20">+J203+O203-N203</f>
        <v>121442.5</v>
      </c>
      <c r="M203" s="215"/>
      <c r="N203" s="204"/>
      <c r="O203" s="368">
        <v>1958.75</v>
      </c>
      <c r="P203" s="16"/>
      <c r="Q203" s="16"/>
    </row>
    <row r="204" spans="1:17">
      <c r="A204" s="214"/>
      <c r="B204" s="57" t="s">
        <v>360</v>
      </c>
      <c r="C204" s="215"/>
      <c r="D204" s="216"/>
      <c r="E204" s="227"/>
      <c r="F204" s="219" t="s">
        <v>129</v>
      </c>
      <c r="G204" s="224"/>
      <c r="H204" s="213">
        <f t="shared" si="19"/>
        <v>121256.5</v>
      </c>
      <c r="I204" s="226"/>
      <c r="J204" s="204">
        <v>119300.75</v>
      </c>
      <c r="K204" s="204"/>
      <c r="L204" s="204">
        <f t="shared" si="20"/>
        <v>121256.5</v>
      </c>
      <c r="M204" s="215"/>
      <c r="N204" s="204"/>
      <c r="O204" s="368">
        <v>1955.75</v>
      </c>
      <c r="P204" s="16"/>
      <c r="Q204" s="16"/>
    </row>
    <row r="205" spans="1:17">
      <c r="A205" s="214"/>
      <c r="B205" s="218" t="s">
        <v>367</v>
      </c>
      <c r="C205" s="215"/>
      <c r="D205" s="216"/>
      <c r="E205" s="227"/>
      <c r="F205" s="219" t="s">
        <v>132</v>
      </c>
      <c r="G205" s="224"/>
      <c r="H205" s="213">
        <f t="shared" si="19"/>
        <v>121442.5</v>
      </c>
      <c r="I205" s="226"/>
      <c r="J205" s="204">
        <v>119483.75</v>
      </c>
      <c r="K205" s="204"/>
      <c r="L205" s="204">
        <f t="shared" si="20"/>
        <v>121442.5</v>
      </c>
      <c r="M205" s="215"/>
      <c r="N205" s="204"/>
      <c r="O205" s="368">
        <v>1958.75</v>
      </c>
      <c r="P205" s="16"/>
      <c r="Q205" s="16"/>
    </row>
    <row r="206" spans="1:17">
      <c r="A206" s="214"/>
      <c r="B206" s="218" t="s">
        <v>424</v>
      </c>
      <c r="C206" s="215"/>
      <c r="D206" s="216"/>
      <c r="E206" s="227"/>
      <c r="F206" s="219" t="s">
        <v>133</v>
      </c>
      <c r="G206" s="224"/>
      <c r="H206" s="213">
        <f t="shared" si="19"/>
        <v>117064.82000000004</v>
      </c>
      <c r="I206" s="226"/>
      <c r="J206" s="204">
        <v>115113.74000000003</v>
      </c>
      <c r="K206" s="204"/>
      <c r="L206" s="204">
        <f t="shared" si="20"/>
        <v>117064.82000000004</v>
      </c>
      <c r="M206" s="215"/>
      <c r="N206" s="204"/>
      <c r="O206" s="368">
        <v>1951.08</v>
      </c>
      <c r="P206" s="16"/>
      <c r="Q206" s="16"/>
    </row>
    <row r="207" spans="1:17">
      <c r="A207" s="214"/>
      <c r="B207" s="105" t="s">
        <v>450</v>
      </c>
      <c r="C207" s="215"/>
      <c r="D207" s="216"/>
      <c r="E207" s="227"/>
      <c r="F207" s="219" t="s">
        <v>134</v>
      </c>
      <c r="G207" s="224"/>
      <c r="H207" s="213">
        <f>+L207</f>
        <v>99989.003624999954</v>
      </c>
      <c r="I207" s="226"/>
      <c r="J207" s="204">
        <v>97989.223624999955</v>
      </c>
      <c r="K207" s="204"/>
      <c r="L207" s="204">
        <f>+J207+O207-N207</f>
        <v>99989.003624999954</v>
      </c>
      <c r="M207" s="215"/>
      <c r="N207" s="204"/>
      <c r="O207" s="368">
        <v>1999.78</v>
      </c>
      <c r="P207" s="16"/>
      <c r="Q207" s="16"/>
    </row>
    <row r="208" spans="1:17">
      <c r="A208" s="214"/>
      <c r="B208" s="105" t="s">
        <v>453</v>
      </c>
      <c r="C208" s="215"/>
      <c r="D208" s="216"/>
      <c r="E208" s="227"/>
      <c r="F208" s="219" t="s">
        <v>135</v>
      </c>
      <c r="G208" s="224"/>
      <c r="H208" s="213">
        <f>+L208</f>
        <v>92941.394875000071</v>
      </c>
      <c r="I208" s="226"/>
      <c r="J208" s="204">
        <v>91061.314875000069</v>
      </c>
      <c r="K208" s="204"/>
      <c r="L208" s="204">
        <f>+J208+O208-N208</f>
        <v>92941.394875000071</v>
      </c>
      <c r="M208" s="215"/>
      <c r="N208" s="204"/>
      <c r="O208" s="368">
        <v>1880.08</v>
      </c>
      <c r="P208" s="16"/>
      <c r="Q208" s="16"/>
    </row>
    <row r="209" spans="1:17">
      <c r="A209" s="214"/>
      <c r="B209" s="105" t="s">
        <v>455</v>
      </c>
      <c r="C209" s="215"/>
      <c r="D209" s="216"/>
      <c r="E209" s="227"/>
      <c r="F209" s="348" t="s">
        <v>130</v>
      </c>
      <c r="G209" s="224"/>
      <c r="H209" s="213">
        <f>+L209</f>
        <v>81538.75</v>
      </c>
      <c r="I209" s="226"/>
      <c r="J209" s="204">
        <v>79550</v>
      </c>
      <c r="K209" s="204"/>
      <c r="L209" s="204">
        <f>+J209+O209-N209</f>
        <v>81538.75</v>
      </c>
      <c r="M209" s="215"/>
      <c r="N209" s="204"/>
      <c r="O209" s="368">
        <v>1988.75</v>
      </c>
      <c r="P209" s="16"/>
      <c r="Q209" s="16"/>
    </row>
    <row r="210" spans="1:17">
      <c r="A210" s="673"/>
      <c r="B210" s="218" t="s">
        <v>374</v>
      </c>
      <c r="C210" s="215"/>
      <c r="D210" s="215"/>
      <c r="E210" s="227"/>
      <c r="F210" s="22" t="s">
        <v>129</v>
      </c>
      <c r="G210" s="545"/>
      <c r="H210" s="671">
        <f t="shared" si="19"/>
        <v>344538.56000000029</v>
      </c>
      <c r="I210" s="226"/>
      <c r="J210" s="204">
        <v>338598.24000000028</v>
      </c>
      <c r="K210" s="204"/>
      <c r="L210" s="204">
        <f t="shared" si="20"/>
        <v>344538.56000000029</v>
      </c>
      <c r="M210" s="215"/>
      <c r="N210" s="204"/>
      <c r="O210" s="368">
        <v>5940.32</v>
      </c>
      <c r="P210" s="16"/>
      <c r="Q210" s="16"/>
    </row>
    <row r="211" spans="1:17">
      <c r="A211" s="214"/>
      <c r="B211" s="218" t="s">
        <v>376</v>
      </c>
      <c r="C211" s="215"/>
      <c r="D211" s="216"/>
      <c r="E211" s="227"/>
      <c r="F211" s="22" t="s">
        <v>132</v>
      </c>
      <c r="G211" s="224"/>
      <c r="H211" s="213">
        <f t="shared" si="19"/>
        <v>345518.18000000017</v>
      </c>
      <c r="I211" s="226"/>
      <c r="J211" s="204">
        <v>339560.97000000015</v>
      </c>
      <c r="K211" s="204"/>
      <c r="L211" s="204">
        <f t="shared" si="20"/>
        <v>345518.18000000017</v>
      </c>
      <c r="M211" s="215"/>
      <c r="N211" s="204"/>
      <c r="O211" s="368">
        <v>5957.21</v>
      </c>
      <c r="P211" s="16"/>
      <c r="Q211" s="16"/>
    </row>
    <row r="212" spans="1:17">
      <c r="A212" s="214"/>
      <c r="B212" s="218" t="s">
        <v>428</v>
      </c>
      <c r="C212" s="215"/>
      <c r="D212" s="216"/>
      <c r="E212" s="227"/>
      <c r="F212" s="22" t="s">
        <v>133</v>
      </c>
      <c r="G212" s="224"/>
      <c r="H212" s="213">
        <f t="shared" si="19"/>
        <v>108543.67999999995</v>
      </c>
      <c r="I212" s="226"/>
      <c r="J212" s="204">
        <v>106605.39999999995</v>
      </c>
      <c r="K212" s="204"/>
      <c r="L212" s="204">
        <f t="shared" si="20"/>
        <v>108543.67999999995</v>
      </c>
      <c r="M212" s="215"/>
      <c r="N212" s="204"/>
      <c r="O212" s="368">
        <v>1938.28</v>
      </c>
      <c r="P212" s="16"/>
      <c r="Q212" s="16"/>
    </row>
    <row r="213" spans="1:17">
      <c r="A213" s="214" t="s">
        <v>447</v>
      </c>
      <c r="B213" s="218"/>
      <c r="C213" s="215"/>
      <c r="D213" s="216"/>
      <c r="E213" s="227"/>
      <c r="F213" s="22" t="s">
        <v>134</v>
      </c>
      <c r="G213" s="224"/>
      <c r="H213" s="213"/>
      <c r="I213" s="226"/>
      <c r="J213" s="204"/>
      <c r="K213" s="204"/>
      <c r="L213" s="204"/>
      <c r="M213" s="215"/>
      <c r="N213" s="204"/>
      <c r="O213" s="368"/>
      <c r="Q213" s="16"/>
    </row>
    <row r="214" spans="1:17">
      <c r="A214" s="214"/>
      <c r="B214" s="218" t="s">
        <v>440</v>
      </c>
      <c r="C214" s="215"/>
      <c r="D214" s="216"/>
      <c r="E214" s="227"/>
      <c r="F214" s="24" t="s">
        <v>128</v>
      </c>
      <c r="G214" s="224"/>
      <c r="H214" s="213">
        <f t="shared" si="19"/>
        <v>103262.01999999993</v>
      </c>
      <c r="I214" s="226"/>
      <c r="J214" s="204">
        <v>101313.67999999993</v>
      </c>
      <c r="K214" s="204"/>
      <c r="L214" s="204">
        <f t="shared" si="20"/>
        <v>103262.01999999993</v>
      </c>
      <c r="M214" s="215"/>
      <c r="N214" s="204"/>
      <c r="O214" s="368">
        <v>1948.34</v>
      </c>
      <c r="P214" s="16"/>
      <c r="Q214" s="16"/>
    </row>
    <row r="215" spans="1:17">
      <c r="A215" s="214"/>
      <c r="B215" s="218" t="s">
        <v>441</v>
      </c>
      <c r="C215" s="215"/>
      <c r="D215" s="216"/>
      <c r="E215" s="227"/>
      <c r="F215" s="24" t="s">
        <v>129</v>
      </c>
      <c r="G215" s="224"/>
      <c r="H215" s="213">
        <f t="shared" si="19"/>
        <v>103262.01999999993</v>
      </c>
      <c r="I215" s="226"/>
      <c r="J215" s="204">
        <v>101313.67999999993</v>
      </c>
      <c r="K215" s="204"/>
      <c r="L215" s="204">
        <f t="shared" si="20"/>
        <v>103262.01999999993</v>
      </c>
      <c r="M215" s="215"/>
      <c r="N215" s="204"/>
      <c r="O215" s="368">
        <v>1948.34</v>
      </c>
      <c r="P215" s="16"/>
      <c r="Q215" s="16"/>
    </row>
    <row r="216" spans="1:17">
      <c r="A216" s="214"/>
      <c r="B216" s="218" t="s">
        <v>442</v>
      </c>
      <c r="C216" s="215"/>
      <c r="D216" s="216"/>
      <c r="E216" s="227"/>
      <c r="F216" s="24" t="s">
        <v>132</v>
      </c>
      <c r="G216" s="224"/>
      <c r="H216" s="213">
        <f t="shared" si="19"/>
        <v>103262.01999999993</v>
      </c>
      <c r="I216" s="226"/>
      <c r="J216" s="204">
        <v>101313.67999999993</v>
      </c>
      <c r="K216" s="204"/>
      <c r="L216" s="204">
        <f t="shared" si="20"/>
        <v>103262.01999999993</v>
      </c>
      <c r="M216" s="215"/>
      <c r="N216" s="204"/>
      <c r="O216" s="368">
        <v>1948.34</v>
      </c>
      <c r="P216" s="16"/>
      <c r="Q216" s="16"/>
    </row>
    <row r="217" spans="1:17">
      <c r="A217" s="214"/>
      <c r="B217" s="218" t="s">
        <v>443</v>
      </c>
      <c r="C217" s="215"/>
      <c r="D217" s="216"/>
      <c r="E217" s="227"/>
      <c r="F217" s="24" t="s">
        <v>133</v>
      </c>
      <c r="G217" s="224"/>
      <c r="H217" s="213">
        <f t="shared" si="19"/>
        <v>103262.01999999993</v>
      </c>
      <c r="I217" s="226"/>
      <c r="J217" s="204">
        <v>101313.67999999993</v>
      </c>
      <c r="K217" s="204"/>
      <c r="L217" s="204">
        <f t="shared" si="20"/>
        <v>103262.01999999993</v>
      </c>
      <c r="M217" s="215"/>
      <c r="N217" s="204"/>
      <c r="O217" s="368">
        <v>1948.34</v>
      </c>
      <c r="P217" s="16"/>
      <c r="Q217" s="16"/>
    </row>
    <row r="218" spans="1:17">
      <c r="A218" s="214"/>
      <c r="B218" s="218" t="s">
        <v>444</v>
      </c>
      <c r="C218" s="215"/>
      <c r="D218" s="216"/>
      <c r="E218" s="227"/>
      <c r="F218" s="24" t="s">
        <v>134</v>
      </c>
      <c r="G218" s="224"/>
      <c r="H218" s="213">
        <f t="shared" si="19"/>
        <v>103262.01999999993</v>
      </c>
      <c r="I218" s="226"/>
      <c r="J218" s="204">
        <v>101313.67999999993</v>
      </c>
      <c r="K218" s="204"/>
      <c r="L218" s="204">
        <f t="shared" si="20"/>
        <v>103262.01999999993</v>
      </c>
      <c r="M218" s="215"/>
      <c r="N218" s="204"/>
      <c r="O218" s="368">
        <v>1948.34</v>
      </c>
      <c r="P218" s="16"/>
      <c r="Q218" s="16"/>
    </row>
    <row r="219" spans="1:17">
      <c r="A219" s="214"/>
      <c r="B219" s="218" t="s">
        <v>445</v>
      </c>
      <c r="C219" s="215"/>
      <c r="D219" s="216"/>
      <c r="E219" s="227"/>
      <c r="F219" s="24" t="s">
        <v>135</v>
      </c>
      <c r="G219" s="224"/>
      <c r="H219" s="213">
        <f t="shared" si="19"/>
        <v>103262.01999999993</v>
      </c>
      <c r="I219" s="226"/>
      <c r="J219" s="204">
        <v>101313.67999999993</v>
      </c>
      <c r="K219" s="204"/>
      <c r="L219" s="204">
        <f t="shared" si="20"/>
        <v>103262.01999999993</v>
      </c>
      <c r="M219" s="215"/>
      <c r="N219" s="204"/>
      <c r="O219" s="368">
        <v>1948.34</v>
      </c>
      <c r="P219" s="16"/>
      <c r="Q219" s="16"/>
    </row>
    <row r="220" spans="1:17">
      <c r="A220" s="214"/>
      <c r="B220" s="218" t="s">
        <v>446</v>
      </c>
      <c r="C220" s="215"/>
      <c r="D220" s="216"/>
      <c r="E220" s="227"/>
      <c r="F220" s="24" t="s">
        <v>130</v>
      </c>
      <c r="G220" s="224"/>
      <c r="H220" s="213">
        <f t="shared" si="19"/>
        <v>103262.01999999993</v>
      </c>
      <c r="I220" s="226"/>
      <c r="J220" s="204">
        <v>101313.67999999993</v>
      </c>
      <c r="K220" s="204"/>
      <c r="L220" s="204">
        <f t="shared" si="20"/>
        <v>103262.01999999993</v>
      </c>
      <c r="M220" s="215"/>
      <c r="N220" s="204"/>
      <c r="O220" s="368">
        <v>1948.34</v>
      </c>
      <c r="P220" s="16"/>
      <c r="Q220" s="16"/>
    </row>
    <row r="221" spans="1:17">
      <c r="A221" s="214"/>
      <c r="B221" s="218" t="s">
        <v>464</v>
      </c>
      <c r="C221" s="215"/>
      <c r="D221" s="216"/>
      <c r="E221" s="227"/>
      <c r="F221" s="24" t="s">
        <v>136</v>
      </c>
      <c r="G221" s="224"/>
      <c r="H221" s="213">
        <f t="shared" si="19"/>
        <v>78412.5</v>
      </c>
      <c r="I221" s="226"/>
      <c r="J221" s="204">
        <v>76500</v>
      </c>
      <c r="K221" s="204"/>
      <c r="L221" s="204">
        <f t="shared" si="20"/>
        <v>78412.5</v>
      </c>
      <c r="M221" s="215"/>
      <c r="N221" s="204"/>
      <c r="O221" s="368">
        <v>1912.5</v>
      </c>
      <c r="P221" s="16"/>
      <c r="Q221" s="16"/>
    </row>
    <row r="222" spans="1:17">
      <c r="A222" s="214"/>
      <c r="B222" s="218" t="s">
        <v>465</v>
      </c>
      <c r="C222" s="215"/>
      <c r="D222" s="216"/>
      <c r="E222" s="227"/>
      <c r="F222" s="24" t="s">
        <v>137</v>
      </c>
      <c r="G222" s="224"/>
      <c r="H222" s="213">
        <f t="shared" si="19"/>
        <v>78412.5</v>
      </c>
      <c r="I222" s="226"/>
      <c r="J222" s="204">
        <v>76500</v>
      </c>
      <c r="K222" s="204"/>
      <c r="L222" s="204">
        <f t="shared" si="20"/>
        <v>78412.5</v>
      </c>
      <c r="M222" s="215"/>
      <c r="N222" s="204"/>
      <c r="O222" s="368">
        <v>1912.5</v>
      </c>
      <c r="P222" s="16"/>
      <c r="Q222" s="16"/>
    </row>
    <row r="223" spans="1:17">
      <c r="A223" s="214"/>
      <c r="B223" s="218" t="s">
        <v>466</v>
      </c>
      <c r="C223" s="215"/>
      <c r="D223" s="216"/>
      <c r="E223" s="227"/>
      <c r="F223" s="24" t="s">
        <v>138</v>
      </c>
      <c r="G223" s="224"/>
      <c r="H223" s="213">
        <f t="shared" si="19"/>
        <v>78412.5</v>
      </c>
      <c r="I223" s="226"/>
      <c r="J223" s="204">
        <v>76500</v>
      </c>
      <c r="K223" s="204"/>
      <c r="L223" s="204">
        <f t="shared" si="20"/>
        <v>78412.5</v>
      </c>
      <c r="M223" s="215"/>
      <c r="N223" s="204"/>
      <c r="O223" s="368">
        <v>1912.5</v>
      </c>
      <c r="P223" s="16"/>
      <c r="Q223" s="16"/>
    </row>
    <row r="224" spans="1:17">
      <c r="A224" s="214"/>
      <c r="B224" s="218" t="s">
        <v>467</v>
      </c>
      <c r="C224" s="215"/>
      <c r="D224" s="216"/>
      <c r="E224" s="227"/>
      <c r="F224" s="24" t="s">
        <v>139</v>
      </c>
      <c r="G224" s="224"/>
      <c r="H224" s="213">
        <f t="shared" si="19"/>
        <v>78412.5</v>
      </c>
      <c r="I224" s="226"/>
      <c r="J224" s="204">
        <v>76500</v>
      </c>
      <c r="K224" s="204"/>
      <c r="L224" s="204">
        <f t="shared" si="20"/>
        <v>78412.5</v>
      </c>
      <c r="M224" s="215"/>
      <c r="N224" s="204"/>
      <c r="O224" s="368">
        <v>1912.5</v>
      </c>
      <c r="P224" s="16"/>
      <c r="Q224" s="16"/>
    </row>
    <row r="225" spans="1:18">
      <c r="A225" s="214"/>
      <c r="B225" s="218" t="s">
        <v>468</v>
      </c>
      <c r="C225" s="215"/>
      <c r="D225" s="216"/>
      <c r="E225" s="227"/>
      <c r="F225" s="24" t="s">
        <v>140</v>
      </c>
      <c r="G225" s="224"/>
      <c r="H225" s="213">
        <f t="shared" si="19"/>
        <v>78412.5</v>
      </c>
      <c r="I225" s="226"/>
      <c r="J225" s="204">
        <v>76500</v>
      </c>
      <c r="K225" s="204"/>
      <c r="L225" s="204">
        <f t="shared" si="20"/>
        <v>78412.5</v>
      </c>
      <c r="M225" s="215"/>
      <c r="N225" s="204"/>
      <c r="O225" s="368">
        <v>1912.5</v>
      </c>
      <c r="P225" s="16"/>
      <c r="Q225" s="16"/>
    </row>
    <row r="226" spans="1:18">
      <c r="A226" s="214"/>
      <c r="B226" s="218" t="s">
        <v>395</v>
      </c>
      <c r="C226" s="215"/>
      <c r="D226" s="216"/>
      <c r="E226" s="227"/>
      <c r="F226" s="24" t="s">
        <v>141</v>
      </c>
      <c r="G226" s="224"/>
      <c r="H226" s="213">
        <f t="shared" si="19"/>
        <v>78412.5</v>
      </c>
      <c r="I226" s="226"/>
      <c r="J226" s="204">
        <v>76500</v>
      </c>
      <c r="K226" s="204"/>
      <c r="L226" s="204">
        <f t="shared" si="20"/>
        <v>78412.5</v>
      </c>
      <c r="M226" s="215"/>
      <c r="N226" s="204"/>
      <c r="O226" s="368">
        <v>1912.5</v>
      </c>
      <c r="P226" s="16"/>
      <c r="Q226" s="16"/>
    </row>
    <row r="227" spans="1:18">
      <c r="A227" s="214"/>
      <c r="B227" s="218" t="s">
        <v>469</v>
      </c>
      <c r="C227" s="215"/>
      <c r="D227" s="216"/>
      <c r="E227" s="227"/>
      <c r="F227" s="24" t="s">
        <v>142</v>
      </c>
      <c r="G227" s="224"/>
      <c r="H227" s="213">
        <f t="shared" si="19"/>
        <v>78412.5</v>
      </c>
      <c r="I227" s="226"/>
      <c r="J227" s="204">
        <v>76500</v>
      </c>
      <c r="K227" s="204"/>
      <c r="L227" s="204">
        <f t="shared" si="20"/>
        <v>78412.5</v>
      </c>
      <c r="M227" s="215"/>
      <c r="N227" s="204"/>
      <c r="O227" s="368">
        <v>1912.5</v>
      </c>
      <c r="P227" s="16"/>
      <c r="Q227" s="16"/>
    </row>
    <row r="228" spans="1:18">
      <c r="A228" s="214" t="s">
        <v>461</v>
      </c>
      <c r="B228" s="218"/>
      <c r="C228" s="215"/>
      <c r="D228" s="216"/>
      <c r="E228" s="227"/>
      <c r="F228" s="22" t="s">
        <v>135</v>
      </c>
      <c r="G228" s="224"/>
      <c r="H228" s="213">
        <f t="shared" si="19"/>
        <v>51842.39999999998</v>
      </c>
      <c r="I228" s="226"/>
      <c r="J228" s="204">
        <v>50546.339999999982</v>
      </c>
      <c r="K228" s="204"/>
      <c r="L228" s="204">
        <f t="shared" si="20"/>
        <v>51842.39999999998</v>
      </c>
      <c r="M228" s="215"/>
      <c r="N228" s="204"/>
      <c r="O228" s="368">
        <v>1296.06</v>
      </c>
      <c r="P228" s="16"/>
      <c r="Q228" s="16"/>
    </row>
    <row r="229" spans="1:18">
      <c r="A229" s="596" t="s">
        <v>908</v>
      </c>
      <c r="B229" s="218"/>
      <c r="C229" s="215"/>
      <c r="D229" s="216"/>
      <c r="E229" s="227"/>
      <c r="F229" s="22" t="s">
        <v>130</v>
      </c>
      <c r="G229" s="224"/>
      <c r="H229" s="213">
        <f t="shared" si="19"/>
        <v>279563.19000000006</v>
      </c>
      <c r="I229" s="226"/>
      <c r="J229" s="204">
        <v>270826.84000000008</v>
      </c>
      <c r="K229" s="204"/>
      <c r="L229" s="204">
        <f t="shared" si="20"/>
        <v>279563.19000000006</v>
      </c>
      <c r="M229" s="215"/>
      <c r="N229" s="204"/>
      <c r="O229" s="368">
        <v>8736.35</v>
      </c>
      <c r="P229" s="16"/>
      <c r="Q229" s="16"/>
    </row>
    <row r="230" spans="1:18">
      <c r="A230" s="596" t="s">
        <v>1110</v>
      </c>
      <c r="B230" s="218"/>
      <c r="C230" s="215"/>
      <c r="D230" s="216"/>
      <c r="E230" s="227"/>
      <c r="F230" s="22" t="s">
        <v>136</v>
      </c>
      <c r="G230" s="224"/>
      <c r="H230" s="213">
        <f t="shared" si="19"/>
        <v>17026.439999999999</v>
      </c>
      <c r="I230" s="226"/>
      <c r="J230" s="204">
        <v>14188.699999999999</v>
      </c>
      <c r="K230" s="204"/>
      <c r="L230" s="204">
        <f t="shared" si="20"/>
        <v>17026.439999999999</v>
      </c>
      <c r="M230" s="215"/>
      <c r="N230" s="204"/>
      <c r="O230" s="368">
        <v>2837.74</v>
      </c>
      <c r="P230" s="16"/>
      <c r="Q230" s="16"/>
    </row>
    <row r="231" spans="1:18">
      <c r="A231" s="596" t="s">
        <v>1109</v>
      </c>
      <c r="B231" s="218"/>
      <c r="C231" s="215"/>
      <c r="D231" s="216"/>
      <c r="E231" s="227"/>
      <c r="F231" s="22" t="s">
        <v>137</v>
      </c>
      <c r="G231" s="224"/>
      <c r="H231" s="213">
        <f t="shared" si="19"/>
        <v>19719.43</v>
      </c>
      <c r="I231" s="226"/>
      <c r="J231" s="204">
        <v>16902.37</v>
      </c>
      <c r="K231" s="204"/>
      <c r="L231" s="204">
        <f t="shared" si="20"/>
        <v>19719.43</v>
      </c>
      <c r="M231" s="215"/>
      <c r="N231" s="204"/>
      <c r="O231" s="368">
        <v>2817.06</v>
      </c>
      <c r="P231" s="16"/>
      <c r="Q231" s="16"/>
      <c r="R231" s="16"/>
    </row>
    <row r="232" spans="1:18">
      <c r="A232" s="596" t="s">
        <v>1103</v>
      </c>
      <c r="B232" s="218"/>
      <c r="C232" s="215"/>
      <c r="D232" s="216"/>
      <c r="E232" s="227"/>
      <c r="F232" s="22" t="s">
        <v>138</v>
      </c>
      <c r="G232" s="224"/>
      <c r="H232" s="213">
        <f t="shared" si="19"/>
        <v>19829.39</v>
      </c>
      <c r="I232" s="226"/>
      <c r="J232" s="204">
        <v>16996.62</v>
      </c>
      <c r="K232" s="204"/>
      <c r="L232" s="204">
        <f t="shared" si="20"/>
        <v>19829.39</v>
      </c>
      <c r="M232" s="215"/>
      <c r="N232" s="204"/>
      <c r="O232" s="368">
        <v>2832.77</v>
      </c>
      <c r="P232" s="16"/>
      <c r="Q232" s="16"/>
    </row>
    <row r="233" spans="1:18">
      <c r="A233" s="596" t="s">
        <v>1072</v>
      </c>
      <c r="B233" s="218"/>
      <c r="C233" s="215"/>
      <c r="D233" s="216"/>
      <c r="E233" s="227"/>
      <c r="F233" s="22" t="s">
        <v>139</v>
      </c>
      <c r="G233" s="224"/>
      <c r="H233" s="213">
        <f t="shared" si="19"/>
        <v>19861.6757</v>
      </c>
      <c r="I233" s="226"/>
      <c r="J233" s="204">
        <v>17024.293799999999</v>
      </c>
      <c r="K233" s="204"/>
      <c r="L233" s="204">
        <f t="shared" si="20"/>
        <v>19861.6757</v>
      </c>
      <c r="M233" s="215"/>
      <c r="N233" s="204"/>
      <c r="O233" s="368">
        <v>2837.3818999999999</v>
      </c>
      <c r="P233" s="16"/>
      <c r="Q233" s="16"/>
    </row>
    <row r="234" spans="1:18">
      <c r="A234" s="596" t="s">
        <v>1073</v>
      </c>
      <c r="B234" s="218"/>
      <c r="C234" s="215"/>
      <c r="D234" s="216"/>
      <c r="E234" s="227"/>
      <c r="F234" s="22" t="s">
        <v>140</v>
      </c>
      <c r="G234" s="224"/>
      <c r="H234" s="213">
        <f t="shared" si="19"/>
        <v>19852.191974999998</v>
      </c>
      <c r="I234" s="226"/>
      <c r="J234" s="204">
        <v>17016.164649999999</v>
      </c>
      <c r="K234" s="204"/>
      <c r="L234" s="204">
        <f t="shared" si="20"/>
        <v>19852.191974999998</v>
      </c>
      <c r="M234" s="215"/>
      <c r="N234" s="204"/>
      <c r="O234" s="368">
        <v>2836.027325</v>
      </c>
      <c r="P234" s="16"/>
      <c r="Q234" s="16"/>
    </row>
    <row r="235" spans="1:18">
      <c r="A235" s="214"/>
      <c r="B235" s="218"/>
      <c r="C235" s="215"/>
      <c r="D235" s="216"/>
      <c r="E235" s="227"/>
      <c r="F235" s="219"/>
      <c r="G235" s="224"/>
      <c r="H235" s="220">
        <f>SUM(H203:H234)</f>
        <v>3253692.2461750004</v>
      </c>
      <c r="I235" s="226">
        <f>+G201-H235</f>
        <v>3.825000487267971E-3</v>
      </c>
      <c r="J235" s="204"/>
      <c r="K235" s="204"/>
      <c r="L235" s="204"/>
      <c r="M235" s="215"/>
      <c r="N235" s="204"/>
      <c r="O235" s="368"/>
      <c r="Q235" s="16">
        <f t="shared" ref="Q235" si="21">+O235-P235</f>
        <v>0</v>
      </c>
    </row>
    <row r="236" spans="1:18" ht="6.75" customHeight="1">
      <c r="A236" s="214"/>
      <c r="B236" s="218"/>
      <c r="C236" s="215"/>
      <c r="D236" s="216"/>
      <c r="E236" s="227"/>
      <c r="F236" s="219"/>
      <c r="G236" s="224"/>
      <c r="H236" s="213"/>
      <c r="I236" s="226"/>
      <c r="J236" s="204"/>
      <c r="K236" s="204"/>
      <c r="L236" s="204"/>
      <c r="M236" s="215"/>
      <c r="N236" s="204"/>
      <c r="O236" s="368"/>
    </row>
    <row r="237" spans="1:18">
      <c r="A237" s="214" t="s">
        <v>30</v>
      </c>
      <c r="B237" s="218"/>
      <c r="C237" s="215"/>
      <c r="D237" s="216"/>
      <c r="E237" s="227">
        <v>215</v>
      </c>
      <c r="F237" s="210"/>
      <c r="G237" s="224">
        <f>+TB!C84</f>
        <v>7753210.9199999999</v>
      </c>
      <c r="H237" s="213">
        <f>+L237</f>
        <v>7753210.9199999999</v>
      </c>
      <c r="I237" s="226">
        <f>+G237-H237</f>
        <v>0</v>
      </c>
      <c r="J237" s="204">
        <v>7753210.9199999999</v>
      </c>
      <c r="K237" s="204"/>
      <c r="L237" s="204">
        <f>+J237+N237-O237</f>
        <v>7753210.9199999999</v>
      </c>
      <c r="M237" s="215"/>
      <c r="N237" s="204"/>
      <c r="O237" s="368"/>
    </row>
    <row r="238" spans="1:18">
      <c r="A238" s="214" t="s">
        <v>31</v>
      </c>
      <c r="B238" s="218"/>
      <c r="C238" s="215"/>
      <c r="D238" s="216"/>
      <c r="E238" s="227">
        <v>221</v>
      </c>
      <c r="F238" s="210"/>
      <c r="G238" s="224">
        <f>+TB!C92</f>
        <v>1022056.8500000001</v>
      </c>
      <c r="H238" s="213">
        <f>+L238</f>
        <v>1022056.8500000001</v>
      </c>
      <c r="I238" s="226">
        <f>+G238-H238</f>
        <v>0</v>
      </c>
      <c r="J238" s="204">
        <v>1022056.8500000001</v>
      </c>
      <c r="K238" s="204"/>
      <c r="L238" s="204">
        <f>+J238+N238-O238</f>
        <v>1022056.8500000001</v>
      </c>
      <c r="M238" s="215"/>
      <c r="N238" s="204"/>
      <c r="O238" s="368"/>
    </row>
    <row r="239" spans="1:18">
      <c r="A239" s="214" t="s">
        <v>300</v>
      </c>
      <c r="B239" s="218"/>
      <c r="C239" s="215"/>
      <c r="D239" s="216"/>
      <c r="E239" s="227">
        <v>321</v>
      </c>
      <c r="F239" s="210"/>
      <c r="G239" s="224">
        <f>+TB!E93</f>
        <v>69930</v>
      </c>
      <c r="H239" s="213"/>
      <c r="I239" s="226"/>
      <c r="J239" s="204"/>
      <c r="K239" s="204"/>
      <c r="L239" s="204"/>
      <c r="M239" s="215"/>
      <c r="N239" s="204"/>
      <c r="O239" s="368"/>
    </row>
    <row r="240" spans="1:18">
      <c r="A240" s="214"/>
      <c r="B240" s="218" t="s">
        <v>368</v>
      </c>
      <c r="C240" s="215"/>
      <c r="D240" s="216"/>
      <c r="E240" s="227"/>
      <c r="F240" s="348" t="s">
        <v>128</v>
      </c>
      <c r="G240" s="224"/>
      <c r="H240" s="213">
        <f>+L240</f>
        <v>69930</v>
      </c>
      <c r="I240" s="226"/>
      <c r="J240" s="204">
        <v>69930</v>
      </c>
      <c r="K240" s="204"/>
      <c r="L240" s="204">
        <f>+J240+O240-N240</f>
        <v>69930</v>
      </c>
      <c r="M240" s="215"/>
      <c r="N240" s="204"/>
      <c r="O240" s="368"/>
    </row>
    <row r="241" spans="1:15">
      <c r="A241" s="214"/>
      <c r="B241" s="218"/>
      <c r="C241" s="215"/>
      <c r="D241" s="216"/>
      <c r="E241" s="227"/>
      <c r="F241" s="210"/>
      <c r="G241" s="224"/>
      <c r="H241" s="220">
        <f>SUM(H240:H240)</f>
        <v>69930</v>
      </c>
      <c r="I241" s="226">
        <f>+G239-H241</f>
        <v>0</v>
      </c>
      <c r="J241" s="204"/>
      <c r="K241" s="204"/>
      <c r="L241" s="204"/>
      <c r="M241" s="215"/>
      <c r="N241" s="204"/>
      <c r="O241" s="368"/>
    </row>
    <row r="242" spans="1:15">
      <c r="A242" s="214" t="s">
        <v>32</v>
      </c>
      <c r="B242" s="218"/>
      <c r="C242" s="215"/>
      <c r="D242" s="216"/>
      <c r="E242" s="227">
        <v>222</v>
      </c>
      <c r="F242" s="210"/>
      <c r="G242" s="224">
        <f>+TB!C94</f>
        <v>607760</v>
      </c>
      <c r="H242" s="213">
        <f>+L242</f>
        <v>607760</v>
      </c>
      <c r="I242" s="226">
        <f>+G242-H242</f>
        <v>0</v>
      </c>
      <c r="J242" s="204">
        <v>607760</v>
      </c>
      <c r="K242" s="204"/>
      <c r="L242" s="204">
        <f>+J242+N242-O242</f>
        <v>607760</v>
      </c>
      <c r="M242" s="215"/>
      <c r="N242" s="204"/>
      <c r="O242" s="368"/>
    </row>
    <row r="243" spans="1:15">
      <c r="A243" s="214" t="s">
        <v>33</v>
      </c>
      <c r="B243" s="218"/>
      <c r="C243" s="215"/>
      <c r="D243" s="216"/>
      <c r="E243" s="227">
        <v>223</v>
      </c>
      <c r="F243" s="210"/>
      <c r="G243" s="224">
        <f>+TB!C96</f>
        <v>557930</v>
      </c>
      <c r="H243" s="213">
        <f>+L243</f>
        <v>557930</v>
      </c>
      <c r="I243" s="226">
        <f>+G243-H243</f>
        <v>0</v>
      </c>
      <c r="J243" s="204">
        <v>557930</v>
      </c>
      <c r="K243" s="204"/>
      <c r="L243" s="204">
        <f>+J243+N243-O243</f>
        <v>557930</v>
      </c>
      <c r="M243" s="215"/>
      <c r="N243" s="204"/>
      <c r="O243" s="368"/>
    </row>
    <row r="244" spans="1:15">
      <c r="A244" s="214" t="s">
        <v>88</v>
      </c>
      <c r="B244" s="218"/>
      <c r="C244" s="215"/>
      <c r="D244" s="216"/>
      <c r="E244" s="227">
        <v>323</v>
      </c>
      <c r="F244" s="210"/>
      <c r="G244" s="224">
        <f>+TB!E97</f>
        <v>156708</v>
      </c>
      <c r="H244" s="213"/>
      <c r="I244" s="226"/>
      <c r="J244" s="204"/>
      <c r="K244" s="204"/>
      <c r="L244" s="204"/>
      <c r="M244" s="215"/>
      <c r="N244" s="204"/>
      <c r="O244" s="368"/>
    </row>
    <row r="245" spans="1:15">
      <c r="A245" s="214"/>
      <c r="B245" s="218" t="s">
        <v>361</v>
      </c>
      <c r="C245" s="215"/>
      <c r="D245" s="216"/>
      <c r="E245" s="21"/>
      <c r="F245" s="348" t="s">
        <v>128</v>
      </c>
      <c r="G245" s="224"/>
      <c r="H245" s="213">
        <f>+L245</f>
        <v>23085</v>
      </c>
      <c r="I245" s="226"/>
      <c r="J245" s="204">
        <v>23085</v>
      </c>
      <c r="K245" s="204"/>
      <c r="L245" s="204">
        <f>+J245+O245-N245</f>
        <v>23085</v>
      </c>
      <c r="M245" s="215"/>
      <c r="N245" s="368"/>
      <c r="O245" s="368"/>
    </row>
    <row r="246" spans="1:15">
      <c r="A246" s="214"/>
      <c r="B246" s="218" t="s">
        <v>377</v>
      </c>
      <c r="C246" s="215"/>
      <c r="D246" s="216"/>
      <c r="E246" s="21"/>
      <c r="F246" s="348" t="s">
        <v>129</v>
      </c>
      <c r="G246" s="224"/>
      <c r="H246" s="213">
        <f>+L246</f>
        <v>41760</v>
      </c>
      <c r="I246" s="226"/>
      <c r="J246" s="204">
        <v>41040</v>
      </c>
      <c r="K246" s="204"/>
      <c r="L246" s="204">
        <f>+J246+O246-N246</f>
        <v>41760</v>
      </c>
      <c r="M246" s="215"/>
      <c r="N246" s="204"/>
      <c r="O246" s="368">
        <v>720</v>
      </c>
    </row>
    <row r="247" spans="1:15">
      <c r="A247" s="214"/>
      <c r="B247" s="218" t="s">
        <v>378</v>
      </c>
      <c r="C247" s="215"/>
      <c r="D247" s="216"/>
      <c r="E247" s="21"/>
      <c r="F247" s="348" t="s">
        <v>132</v>
      </c>
      <c r="G247" s="224"/>
      <c r="H247" s="213">
        <f>+L247</f>
        <v>42418.049999999967</v>
      </c>
      <c r="I247" s="226"/>
      <c r="J247" s="204">
        <v>41699.099999999969</v>
      </c>
      <c r="K247" s="204"/>
      <c r="L247" s="204">
        <f>+J247+O247-N247</f>
        <v>42418.049999999967</v>
      </c>
      <c r="M247" s="215"/>
      <c r="N247" s="204"/>
      <c r="O247" s="368">
        <v>718.95</v>
      </c>
    </row>
    <row r="248" spans="1:15">
      <c r="A248" s="214"/>
      <c r="B248" s="218" t="s">
        <v>379</v>
      </c>
      <c r="C248" s="215"/>
      <c r="D248" s="216"/>
      <c r="E248" s="21"/>
      <c r="F248" s="348" t="s">
        <v>133</v>
      </c>
      <c r="G248" s="224"/>
      <c r="H248" s="213">
        <f>+L248</f>
        <v>49444.950000000055</v>
      </c>
      <c r="I248" s="226"/>
      <c r="J248" s="204">
        <v>48606.900000000052</v>
      </c>
      <c r="K248" s="204"/>
      <c r="L248" s="204">
        <f>+J248+O248-N248</f>
        <v>49444.950000000055</v>
      </c>
      <c r="M248" s="215"/>
      <c r="N248" s="204"/>
      <c r="O248" s="368">
        <v>838.05</v>
      </c>
    </row>
    <row r="249" spans="1:15">
      <c r="A249" s="214"/>
      <c r="B249" s="218"/>
      <c r="C249" s="215"/>
      <c r="D249" s="216"/>
      <c r="E249" s="21"/>
      <c r="F249" s="219"/>
      <c r="G249" s="545"/>
      <c r="H249" s="220">
        <f>SUM(H245:H248)</f>
        <v>156708</v>
      </c>
      <c r="I249" s="226">
        <f>+G244-H249</f>
        <v>0</v>
      </c>
      <c r="J249" s="204"/>
      <c r="K249" s="204"/>
      <c r="L249" s="204"/>
      <c r="M249" s="215"/>
      <c r="N249" s="204"/>
      <c r="O249" s="368"/>
    </row>
    <row r="250" spans="1:15">
      <c r="A250" s="214" t="s">
        <v>89</v>
      </c>
      <c r="B250" s="218"/>
      <c r="C250" s="215"/>
      <c r="D250" s="216"/>
      <c r="E250" s="227">
        <v>224</v>
      </c>
      <c r="F250" s="210"/>
      <c r="G250" s="224">
        <f>+TB!C98</f>
        <v>1173.28</v>
      </c>
      <c r="H250" s="213">
        <f t="shared" ref="H250:H256" si="22">+L250</f>
        <v>1173.28</v>
      </c>
      <c r="I250" s="226">
        <f t="shared" ref="I250:I256" si="23">+G250-H250</f>
        <v>0</v>
      </c>
      <c r="J250" s="204">
        <v>1173.28</v>
      </c>
      <c r="K250" s="204"/>
      <c r="L250" s="204">
        <f>+J250+N250-O250</f>
        <v>1173.28</v>
      </c>
      <c r="M250" s="215"/>
      <c r="N250" s="204"/>
      <c r="O250" s="368"/>
    </row>
    <row r="251" spans="1:15">
      <c r="A251" s="214" t="s">
        <v>90</v>
      </c>
      <c r="B251" s="218"/>
      <c r="C251" s="215"/>
      <c r="D251" s="216"/>
      <c r="E251" s="227">
        <v>227</v>
      </c>
      <c r="F251" s="210"/>
      <c r="G251" s="224">
        <f>+TB!C102</f>
        <v>140200</v>
      </c>
      <c r="H251" s="213">
        <f t="shared" si="22"/>
        <v>140200</v>
      </c>
      <c r="I251" s="226">
        <f t="shared" si="23"/>
        <v>0</v>
      </c>
      <c r="J251" s="204">
        <v>140200</v>
      </c>
      <c r="K251" s="204"/>
      <c r="L251" s="204">
        <f>+J251+N251-O251</f>
        <v>140200</v>
      </c>
      <c r="M251" s="215"/>
      <c r="N251" s="204"/>
      <c r="O251" s="368"/>
    </row>
    <row r="252" spans="1:15">
      <c r="A252" s="214" t="s">
        <v>91</v>
      </c>
      <c r="B252" s="218"/>
      <c r="C252" s="215"/>
      <c r="D252" s="216"/>
      <c r="E252" s="227">
        <v>229</v>
      </c>
      <c r="F252" s="210"/>
      <c r="G252" s="224">
        <f>+TB!C104</f>
        <v>135990</v>
      </c>
      <c r="H252" s="213">
        <f t="shared" si="22"/>
        <v>135990</v>
      </c>
      <c r="I252" s="226">
        <f t="shared" si="23"/>
        <v>0</v>
      </c>
      <c r="J252" s="204">
        <v>135990</v>
      </c>
      <c r="K252" s="204"/>
      <c r="L252" s="204">
        <f>+J252+N252-O252</f>
        <v>135990</v>
      </c>
      <c r="M252" s="215"/>
      <c r="N252" s="204"/>
      <c r="O252" s="593"/>
    </row>
    <row r="253" spans="1:15">
      <c r="A253" s="214" t="s">
        <v>304</v>
      </c>
      <c r="B253" s="218"/>
      <c r="C253" s="215"/>
      <c r="D253" s="216"/>
      <c r="E253" s="227">
        <v>329</v>
      </c>
      <c r="F253" s="210"/>
      <c r="G253" s="224">
        <f>+TB!E105</f>
        <v>5024.25</v>
      </c>
      <c r="H253" s="213">
        <f t="shared" si="22"/>
        <v>5024.25</v>
      </c>
      <c r="I253" s="226">
        <f t="shared" si="23"/>
        <v>0</v>
      </c>
      <c r="J253" s="204">
        <v>4851</v>
      </c>
      <c r="K253" s="204"/>
      <c r="L253" s="204">
        <f>+J253+O253-N253</f>
        <v>5024.25</v>
      </c>
      <c r="M253" s="215"/>
      <c r="N253" s="349"/>
      <c r="O253" s="368">
        <v>173.25</v>
      </c>
    </row>
    <row r="254" spans="1:15">
      <c r="A254" s="214" t="s">
        <v>34</v>
      </c>
      <c r="B254" s="218"/>
      <c r="C254" s="215"/>
      <c r="D254" s="216"/>
      <c r="E254" s="227">
        <v>230</v>
      </c>
      <c r="F254" s="210"/>
      <c r="G254" s="224">
        <f>+TB!C106</f>
        <v>523284.75</v>
      </c>
      <c r="H254" s="213">
        <f t="shared" si="22"/>
        <v>523284.75</v>
      </c>
      <c r="I254" s="226">
        <f t="shared" si="23"/>
        <v>0</v>
      </c>
      <c r="J254" s="204">
        <v>523284.75</v>
      </c>
      <c r="K254" s="204"/>
      <c r="L254" s="204">
        <f>+J254+N254-O254</f>
        <v>523284.75</v>
      </c>
      <c r="M254" s="215"/>
      <c r="N254" s="204"/>
      <c r="O254" s="368"/>
    </row>
    <row r="255" spans="1:15">
      <c r="A255" s="214" t="s">
        <v>35</v>
      </c>
      <c r="B255" s="218"/>
      <c r="C255" s="215"/>
      <c r="D255" s="216"/>
      <c r="E255" s="227">
        <v>231</v>
      </c>
      <c r="F255" s="210"/>
      <c r="G255" s="224">
        <f>+TB!C108</f>
        <v>232200</v>
      </c>
      <c r="H255" s="213">
        <f t="shared" si="22"/>
        <v>232200</v>
      </c>
      <c r="I255" s="226">
        <f t="shared" si="23"/>
        <v>0</v>
      </c>
      <c r="J255" s="204">
        <v>232200</v>
      </c>
      <c r="K255" s="204"/>
      <c r="L255" s="204">
        <f>+J255+N255-O255</f>
        <v>232200</v>
      </c>
      <c r="M255" s="215"/>
      <c r="N255" s="204"/>
      <c r="O255" s="368"/>
    </row>
    <row r="256" spans="1:15">
      <c r="A256" s="214" t="s">
        <v>92</v>
      </c>
      <c r="B256" s="218"/>
      <c r="C256" s="215"/>
      <c r="D256" s="216"/>
      <c r="E256" s="227">
        <v>235</v>
      </c>
      <c r="F256" s="210"/>
      <c r="G256" s="224">
        <f>+TB!C116</f>
        <v>2776111.95</v>
      </c>
      <c r="H256" s="213">
        <f t="shared" si="22"/>
        <v>2776111.95</v>
      </c>
      <c r="I256" s="226">
        <f t="shared" si="23"/>
        <v>0</v>
      </c>
      <c r="J256" s="204">
        <v>2776111.95</v>
      </c>
      <c r="K256" s="204"/>
      <c r="L256" s="204">
        <f>+J256+N256-O256</f>
        <v>2776111.95</v>
      </c>
      <c r="M256" s="215"/>
      <c r="N256" s="204"/>
      <c r="O256" s="368"/>
    </row>
    <row r="257" spans="1:15">
      <c r="A257" s="214" t="s">
        <v>276</v>
      </c>
      <c r="B257" s="218"/>
      <c r="C257" s="215"/>
      <c r="D257" s="216"/>
      <c r="E257" s="227">
        <v>335</v>
      </c>
      <c r="F257" s="210"/>
      <c r="G257" s="224">
        <f>+TB!E117</f>
        <v>246031.72000000029</v>
      </c>
      <c r="H257" s="213"/>
      <c r="I257" s="226"/>
      <c r="J257" s="204"/>
      <c r="K257" s="204"/>
      <c r="L257" s="204"/>
      <c r="M257" s="215"/>
      <c r="N257" s="204"/>
      <c r="O257" s="368"/>
    </row>
    <row r="258" spans="1:15">
      <c r="A258" s="214"/>
      <c r="B258" s="218" t="s">
        <v>305</v>
      </c>
      <c r="C258" s="215"/>
      <c r="D258" s="216"/>
      <c r="E258" s="21"/>
      <c r="F258" s="219" t="s">
        <v>128</v>
      </c>
      <c r="G258" s="224"/>
      <c r="H258" s="213">
        <f t="shared" ref="H258:H265" si="24">+L258</f>
        <v>14017.5</v>
      </c>
      <c r="I258" s="226"/>
      <c r="J258" s="204">
        <v>13860</v>
      </c>
      <c r="K258" s="204"/>
      <c r="L258" s="204">
        <f t="shared" ref="L258:L265" si="25">+J258+O258-N258</f>
        <v>14017.5</v>
      </c>
      <c r="M258" s="215"/>
      <c r="N258" s="204"/>
      <c r="O258" s="368">
        <v>157.5</v>
      </c>
    </row>
    <row r="259" spans="1:15">
      <c r="A259" s="214"/>
      <c r="B259" s="218" t="s">
        <v>306</v>
      </c>
      <c r="C259" s="215"/>
      <c r="D259" s="216"/>
      <c r="E259" s="21"/>
      <c r="F259" s="219" t="s">
        <v>129</v>
      </c>
      <c r="G259" s="224"/>
      <c r="H259" s="213">
        <f t="shared" si="24"/>
        <v>126157.5</v>
      </c>
      <c r="I259" s="226"/>
      <c r="J259" s="204">
        <v>124740</v>
      </c>
      <c r="K259" s="204"/>
      <c r="L259" s="204">
        <f t="shared" si="25"/>
        <v>126157.5</v>
      </c>
      <c r="M259" s="215"/>
      <c r="N259" s="204"/>
      <c r="O259" s="368">
        <v>1417.5</v>
      </c>
    </row>
    <row r="260" spans="1:15">
      <c r="A260" s="214"/>
      <c r="B260" s="218" t="s">
        <v>307</v>
      </c>
      <c r="C260" s="215"/>
      <c r="D260" s="216"/>
      <c r="E260" s="21"/>
      <c r="F260" s="219" t="s">
        <v>132</v>
      </c>
      <c r="G260" s="224"/>
      <c r="H260" s="213">
        <f t="shared" si="24"/>
        <v>33708.75</v>
      </c>
      <c r="I260" s="226"/>
      <c r="J260" s="204">
        <v>33330</v>
      </c>
      <c r="K260" s="204"/>
      <c r="L260" s="204">
        <f t="shared" si="25"/>
        <v>33708.75</v>
      </c>
      <c r="M260" s="215"/>
      <c r="N260" s="204"/>
      <c r="O260" s="368">
        <v>378.75</v>
      </c>
    </row>
    <row r="261" spans="1:15">
      <c r="A261" s="214"/>
      <c r="B261" s="218" t="s">
        <v>308</v>
      </c>
      <c r="C261" s="215"/>
      <c r="D261" s="216"/>
      <c r="E261" s="21"/>
      <c r="F261" s="219" t="s">
        <v>133</v>
      </c>
      <c r="G261" s="224"/>
      <c r="H261" s="213">
        <f t="shared" si="24"/>
        <v>23362.5</v>
      </c>
      <c r="I261" s="226"/>
      <c r="J261" s="204">
        <v>23100</v>
      </c>
      <c r="K261" s="204"/>
      <c r="L261" s="204">
        <f t="shared" si="25"/>
        <v>23362.5</v>
      </c>
      <c r="M261" s="215"/>
      <c r="N261" s="204"/>
      <c r="O261" s="368">
        <v>262.5</v>
      </c>
    </row>
    <row r="262" spans="1:15">
      <c r="A262" s="214"/>
      <c r="B262" s="218" t="s">
        <v>309</v>
      </c>
      <c r="C262" s="215"/>
      <c r="D262" s="216"/>
      <c r="E262" s="21"/>
      <c r="F262" s="219" t="s">
        <v>134</v>
      </c>
      <c r="G262" s="224"/>
      <c r="H262" s="213">
        <f t="shared" si="24"/>
        <v>19444.719999999979</v>
      </c>
      <c r="I262" s="226"/>
      <c r="J262" s="204">
        <v>19226.23999999998</v>
      </c>
      <c r="K262" s="204"/>
      <c r="L262" s="204">
        <f t="shared" si="25"/>
        <v>19444.719999999979</v>
      </c>
      <c r="M262" s="215"/>
      <c r="N262" s="204"/>
      <c r="O262" s="368">
        <v>218.48</v>
      </c>
    </row>
    <row r="263" spans="1:15">
      <c r="A263" s="214"/>
      <c r="B263" s="105" t="s">
        <v>946</v>
      </c>
      <c r="C263" s="215"/>
      <c r="D263" s="216"/>
      <c r="E263" s="21"/>
      <c r="F263" s="219" t="s">
        <v>135</v>
      </c>
      <c r="G263" s="224"/>
      <c r="H263" s="213">
        <f t="shared" si="24"/>
        <v>6503.25</v>
      </c>
      <c r="I263" s="226"/>
      <c r="J263" s="204">
        <v>6279</v>
      </c>
      <c r="K263" s="204"/>
      <c r="L263" s="204">
        <f t="shared" si="25"/>
        <v>6503.25</v>
      </c>
      <c r="M263" s="215"/>
      <c r="N263" s="204"/>
      <c r="O263" s="368">
        <v>224.25</v>
      </c>
    </row>
    <row r="264" spans="1:15">
      <c r="A264" s="214"/>
      <c r="B264" s="105" t="s">
        <v>947</v>
      </c>
      <c r="C264" s="215"/>
      <c r="D264" s="216"/>
      <c r="E264" s="21"/>
      <c r="F264" s="219" t="s">
        <v>130</v>
      </c>
      <c r="G264" s="224"/>
      <c r="H264" s="213">
        <f t="shared" si="24"/>
        <v>8134.5</v>
      </c>
      <c r="I264" s="226"/>
      <c r="J264" s="204">
        <v>7854</v>
      </c>
      <c r="K264" s="204"/>
      <c r="L264" s="204">
        <f t="shared" si="25"/>
        <v>8134.5</v>
      </c>
      <c r="M264" s="215"/>
      <c r="N264" s="204"/>
      <c r="O264" s="368">
        <v>280.5</v>
      </c>
    </row>
    <row r="265" spans="1:15">
      <c r="A265" s="238"/>
      <c r="B265" s="669"/>
      <c r="C265" s="231"/>
      <c r="D265" s="369"/>
      <c r="E265" s="598"/>
      <c r="F265" s="668" t="s">
        <v>136</v>
      </c>
      <c r="G265" s="675"/>
      <c r="H265" s="232">
        <f t="shared" si="24"/>
        <v>14703</v>
      </c>
      <c r="I265" s="226"/>
      <c r="J265" s="204">
        <v>14196</v>
      </c>
      <c r="K265" s="204"/>
      <c r="L265" s="204">
        <f t="shared" si="25"/>
        <v>14703</v>
      </c>
      <c r="M265" s="215"/>
      <c r="N265" s="204"/>
      <c r="O265" s="368">
        <v>507</v>
      </c>
    </row>
    <row r="266" spans="1:15">
      <c r="A266" s="214"/>
      <c r="B266" s="218"/>
      <c r="C266" s="215"/>
      <c r="D266" s="216"/>
      <c r="E266" s="21"/>
      <c r="F266" s="210"/>
      <c r="G266" s="224"/>
      <c r="H266" s="232">
        <f>SUM(H258:H265)</f>
        <v>246031.71999999997</v>
      </c>
      <c r="I266" s="226">
        <f>+G257-H266</f>
        <v>3.2014213502407074E-10</v>
      </c>
      <c r="J266" s="204"/>
      <c r="K266" s="204"/>
      <c r="L266" s="204"/>
      <c r="M266" s="215"/>
      <c r="N266" s="204"/>
      <c r="O266" s="368"/>
    </row>
    <row r="267" spans="1:15">
      <c r="A267" s="214" t="s">
        <v>81</v>
      </c>
      <c r="B267" s="218"/>
      <c r="C267" s="215"/>
      <c r="D267" s="216"/>
      <c r="E267" s="227">
        <v>236</v>
      </c>
      <c r="F267" s="210"/>
      <c r="G267" s="224">
        <f>+TB!C118</f>
        <v>141736.85</v>
      </c>
      <c r="H267" s="213">
        <f>+L267</f>
        <v>141736.85</v>
      </c>
      <c r="I267" s="226">
        <f>+G267-H267</f>
        <v>0</v>
      </c>
      <c r="J267" s="204">
        <v>141736.85</v>
      </c>
      <c r="K267" s="204"/>
      <c r="L267" s="204">
        <f>+J267+N267-O267</f>
        <v>141736.85</v>
      </c>
      <c r="M267" s="215"/>
      <c r="N267" s="204"/>
      <c r="O267" s="368"/>
    </row>
    <row r="268" spans="1:15">
      <c r="A268" s="375" t="s">
        <v>248</v>
      </c>
      <c r="B268" s="218"/>
      <c r="C268" s="215"/>
      <c r="D268" s="216"/>
      <c r="E268" s="227">
        <v>336</v>
      </c>
      <c r="F268" s="210"/>
      <c r="G268" s="224">
        <f>+TB!E119</f>
        <v>67512</v>
      </c>
      <c r="H268" s="213">
        <f>+L268</f>
        <v>67512</v>
      </c>
      <c r="I268" s="226">
        <f>+G268-H268</f>
        <v>0</v>
      </c>
      <c r="J268" s="204">
        <v>66930</v>
      </c>
      <c r="K268" s="204"/>
      <c r="L268" s="204">
        <f>+J268+O268-N268</f>
        <v>67512</v>
      </c>
      <c r="M268" s="215"/>
      <c r="N268" s="204"/>
      <c r="O268" s="368">
        <v>582</v>
      </c>
    </row>
    <row r="269" spans="1:15">
      <c r="A269" s="214" t="s">
        <v>82</v>
      </c>
      <c r="B269" s="218"/>
      <c r="C269" s="215"/>
      <c r="D269" s="216"/>
      <c r="E269" s="227">
        <v>241</v>
      </c>
      <c r="F269" s="210"/>
      <c r="G269" s="224">
        <f>+TB!C122</f>
        <v>1502200</v>
      </c>
      <c r="H269" s="213">
        <f>+L269</f>
        <v>1502200</v>
      </c>
      <c r="I269" s="226">
        <f>+G269-H269</f>
        <v>0</v>
      </c>
      <c r="J269" s="204">
        <v>1502200</v>
      </c>
      <c r="K269" s="204"/>
      <c r="L269" s="204">
        <f>+J269+N269-O269</f>
        <v>1502200</v>
      </c>
      <c r="M269" s="215"/>
      <c r="N269" s="204"/>
      <c r="O269" s="368"/>
    </row>
    <row r="270" spans="1:15">
      <c r="A270" s="214" t="s">
        <v>247</v>
      </c>
      <c r="B270" s="218"/>
      <c r="C270" s="215"/>
      <c r="D270" s="216"/>
      <c r="E270" s="227">
        <v>250</v>
      </c>
      <c r="F270" s="210"/>
      <c r="G270" s="224">
        <f>+TB!C128</f>
        <v>1001240.8</v>
      </c>
      <c r="H270" s="213">
        <f>+L270</f>
        <v>1001240.8</v>
      </c>
      <c r="I270" s="226">
        <f>+G270-H270</f>
        <v>0</v>
      </c>
      <c r="J270" s="204">
        <v>1001240.8</v>
      </c>
      <c r="K270" s="204"/>
      <c r="L270" s="204">
        <f>+J270+N270-O270</f>
        <v>1001240.8</v>
      </c>
      <c r="M270" s="215"/>
      <c r="N270" s="204"/>
      <c r="O270" s="368"/>
    </row>
    <row r="271" spans="1:15">
      <c r="A271" s="214"/>
      <c r="B271" s="218"/>
      <c r="C271" s="215"/>
      <c r="D271" s="216"/>
      <c r="E271" s="227"/>
      <c r="F271" s="210"/>
      <c r="G271" s="224"/>
      <c r="H271" s="213"/>
      <c r="I271" s="226"/>
      <c r="J271" s="204"/>
      <c r="K271" s="204"/>
      <c r="L271" s="204"/>
      <c r="M271" s="215"/>
      <c r="N271" s="204"/>
      <c r="O271" s="368"/>
    </row>
    <row r="272" spans="1:15">
      <c r="A272" s="214" t="s">
        <v>349</v>
      </c>
      <c r="B272" s="218"/>
      <c r="C272" s="215"/>
      <c r="D272" s="215"/>
      <c r="E272" s="227">
        <v>264</v>
      </c>
      <c r="F272" s="210"/>
      <c r="G272" s="545">
        <f>+TB!C140</f>
        <v>1418390.8900000006</v>
      </c>
      <c r="H272" s="671"/>
      <c r="I272" s="226"/>
      <c r="J272" s="204"/>
      <c r="K272" s="204"/>
      <c r="L272" s="204"/>
      <c r="M272" s="215"/>
      <c r="N272" s="204"/>
      <c r="O272" s="368"/>
    </row>
    <row r="273" spans="1:15" hidden="1">
      <c r="A273" s="214"/>
      <c r="B273" s="619" t="s">
        <v>1072</v>
      </c>
      <c r="C273" s="215"/>
      <c r="D273" s="216"/>
      <c r="E273" s="227"/>
      <c r="F273" s="348" t="s">
        <v>128</v>
      </c>
      <c r="G273" s="224"/>
      <c r="H273" s="213">
        <f t="shared" ref="H273:H279" si="26">+L273</f>
        <v>0</v>
      </c>
      <c r="I273" s="226"/>
      <c r="J273" s="204">
        <v>0</v>
      </c>
      <c r="K273" s="204"/>
      <c r="L273" s="204">
        <f t="shared" ref="L273:L279" si="27">+J273+N273-O273</f>
        <v>0</v>
      </c>
      <c r="M273" s="215"/>
      <c r="N273" s="204"/>
      <c r="O273" s="368"/>
    </row>
    <row r="274" spans="1:15" hidden="1">
      <c r="A274" s="214"/>
      <c r="B274" s="619" t="s">
        <v>1073</v>
      </c>
      <c r="C274" s="215"/>
      <c r="D274" s="216"/>
      <c r="E274" s="227"/>
      <c r="F274" s="348" t="s">
        <v>129</v>
      </c>
      <c r="G274" s="224"/>
      <c r="H274" s="213">
        <f t="shared" si="26"/>
        <v>0</v>
      </c>
      <c r="I274" s="226"/>
      <c r="J274" s="204">
        <v>0</v>
      </c>
      <c r="K274" s="204"/>
      <c r="L274" s="204">
        <f t="shared" si="27"/>
        <v>0</v>
      </c>
      <c r="M274" s="215"/>
      <c r="N274" s="204"/>
      <c r="O274" s="368"/>
    </row>
    <row r="275" spans="1:15" hidden="1">
      <c r="A275" s="214"/>
      <c r="B275" s="619" t="s">
        <v>1103</v>
      </c>
      <c r="C275" s="215"/>
      <c r="D275" s="216"/>
      <c r="E275" s="227"/>
      <c r="F275" s="348" t="s">
        <v>132</v>
      </c>
      <c r="G275" s="224"/>
      <c r="H275" s="213">
        <f t="shared" si="26"/>
        <v>0</v>
      </c>
      <c r="I275" s="226"/>
      <c r="J275" s="204">
        <v>0</v>
      </c>
      <c r="K275" s="204"/>
      <c r="L275" s="204">
        <f t="shared" si="27"/>
        <v>0</v>
      </c>
      <c r="M275" s="215"/>
      <c r="N275" s="204"/>
      <c r="O275" s="368"/>
    </row>
    <row r="276" spans="1:15" hidden="1">
      <c r="A276" s="214"/>
      <c r="B276" s="619" t="s">
        <v>1109</v>
      </c>
      <c r="C276" s="215"/>
      <c r="D276" s="216"/>
      <c r="E276" s="227"/>
      <c r="F276" s="348" t="s">
        <v>133</v>
      </c>
      <c r="G276" s="224"/>
      <c r="H276" s="213">
        <f t="shared" si="26"/>
        <v>0</v>
      </c>
      <c r="I276" s="226"/>
      <c r="J276" s="204">
        <v>0</v>
      </c>
      <c r="K276" s="204"/>
      <c r="L276" s="204">
        <f t="shared" si="27"/>
        <v>0</v>
      </c>
      <c r="M276" s="215"/>
      <c r="N276" s="204"/>
      <c r="O276" s="368"/>
    </row>
    <row r="277" spans="1:15" hidden="1">
      <c r="A277" s="214"/>
      <c r="B277" s="619" t="s">
        <v>1110</v>
      </c>
      <c r="C277" s="215"/>
      <c r="D277" s="216"/>
      <c r="E277" s="227"/>
      <c r="F277" s="348" t="s">
        <v>134</v>
      </c>
      <c r="G277" s="545"/>
      <c r="H277" s="213">
        <f t="shared" si="26"/>
        <v>0</v>
      </c>
      <c r="I277" s="226"/>
      <c r="J277" s="204">
        <v>0</v>
      </c>
      <c r="K277" s="204"/>
      <c r="L277" s="204">
        <f t="shared" si="27"/>
        <v>0</v>
      </c>
      <c r="M277" s="215"/>
      <c r="N277" s="204"/>
      <c r="O277" s="368"/>
    </row>
    <row r="278" spans="1:15">
      <c r="A278" s="214"/>
      <c r="B278" s="619" t="s">
        <v>1111</v>
      </c>
      <c r="C278" s="215"/>
      <c r="D278" s="216"/>
      <c r="E278" s="227"/>
      <c r="F278" s="348" t="s">
        <v>135</v>
      </c>
      <c r="G278" s="545"/>
      <c r="H278" s="213">
        <f t="shared" si="26"/>
        <v>1020405.84</v>
      </c>
      <c r="I278" s="226"/>
      <c r="J278" s="204">
        <v>1020405.84</v>
      </c>
      <c r="K278" s="204"/>
      <c r="L278" s="204">
        <f t="shared" si="27"/>
        <v>1020405.84</v>
      </c>
      <c r="M278" s="215"/>
      <c r="N278" s="204"/>
      <c r="O278" s="368"/>
    </row>
    <row r="279" spans="1:15">
      <c r="A279" s="214"/>
      <c r="B279" s="619" t="s">
        <v>1140</v>
      </c>
      <c r="C279" s="215"/>
      <c r="D279" s="216"/>
      <c r="E279" s="227"/>
      <c r="F279" s="348" t="s">
        <v>130</v>
      </c>
      <c r="G279" s="545"/>
      <c r="H279" s="213">
        <f t="shared" si="26"/>
        <v>397985.05</v>
      </c>
      <c r="I279" s="226"/>
      <c r="J279" s="204"/>
      <c r="K279" s="204"/>
      <c r="L279" s="204">
        <f t="shared" si="27"/>
        <v>397985.05</v>
      </c>
      <c r="M279" s="215"/>
      <c r="N279" s="204">
        <v>397985.05</v>
      </c>
      <c r="O279" s="368">
        <v>0</v>
      </c>
    </row>
    <row r="280" spans="1:15">
      <c r="A280" s="214"/>
      <c r="B280" s="218"/>
      <c r="C280" s="215"/>
      <c r="D280" s="216"/>
      <c r="E280" s="227"/>
      <c r="F280" s="210"/>
      <c r="G280" s="545"/>
      <c r="H280" s="220">
        <f>SUM(H273:H279)</f>
        <v>1418390.89</v>
      </c>
      <c r="I280" s="226">
        <f>+H280-G272</f>
        <v>0</v>
      </c>
      <c r="J280" s="204"/>
      <c r="K280" s="204"/>
      <c r="L280" s="204"/>
      <c r="M280" s="215"/>
      <c r="O280" s="368"/>
    </row>
    <row r="281" spans="1:15">
      <c r="A281" s="214"/>
      <c r="B281" s="218"/>
      <c r="C281" s="215"/>
      <c r="D281" s="216"/>
      <c r="E281" s="227"/>
      <c r="F281" s="210"/>
      <c r="G281" s="545"/>
      <c r="H281" s="213"/>
      <c r="I281" s="226"/>
      <c r="J281" s="204"/>
      <c r="K281" s="204"/>
      <c r="L281" s="204"/>
      <c r="M281" s="215"/>
      <c r="O281" s="368"/>
    </row>
    <row r="282" spans="1:15">
      <c r="A282" s="214"/>
      <c r="B282" s="218"/>
      <c r="C282" s="215"/>
      <c r="D282" s="216"/>
      <c r="E282" s="227"/>
      <c r="F282" s="210"/>
      <c r="G282" s="545"/>
      <c r="H282" s="213"/>
      <c r="I282" s="226"/>
      <c r="J282" s="204"/>
      <c r="K282" s="204"/>
      <c r="L282" s="204"/>
      <c r="M282" s="215"/>
      <c r="O282" s="368"/>
    </row>
    <row r="283" spans="1:15">
      <c r="A283" s="375" t="s">
        <v>297</v>
      </c>
      <c r="B283" s="218"/>
      <c r="C283" s="215"/>
      <c r="D283" s="216"/>
      <c r="E283" s="227">
        <v>350</v>
      </c>
      <c r="F283" s="210"/>
      <c r="G283" s="545">
        <f>+TB!E129</f>
        <v>15027</v>
      </c>
      <c r="H283" s="213"/>
      <c r="I283" s="226"/>
      <c r="J283" s="204"/>
      <c r="K283" s="204"/>
      <c r="L283" s="204"/>
      <c r="M283" s="215"/>
      <c r="N283" s="204"/>
      <c r="O283" s="368"/>
    </row>
    <row r="284" spans="1:15">
      <c r="A284" s="214"/>
      <c r="B284" s="218" t="s">
        <v>940</v>
      </c>
      <c r="C284" s="13"/>
      <c r="D284" s="216"/>
      <c r="E284" s="21"/>
      <c r="F284" s="22" t="s">
        <v>128</v>
      </c>
      <c r="G284" s="545"/>
      <c r="H284" s="213">
        <f>+L284</f>
        <v>4263</v>
      </c>
      <c r="I284" s="226"/>
      <c r="J284" s="204">
        <v>4116</v>
      </c>
      <c r="K284" s="204"/>
      <c r="L284" s="204">
        <f>+J284+O284-N284</f>
        <v>4263</v>
      </c>
      <c r="M284" s="215"/>
      <c r="N284" s="204"/>
      <c r="O284" s="368">
        <v>147</v>
      </c>
    </row>
    <row r="285" spans="1:15">
      <c r="A285" s="214"/>
      <c r="B285" s="105" t="s">
        <v>1057</v>
      </c>
      <c r="C285" s="218"/>
      <c r="D285" s="216"/>
      <c r="E285" s="21"/>
      <c r="F285" s="22" t="s">
        <v>129</v>
      </c>
      <c r="G285" s="545"/>
      <c r="H285" s="213">
        <f>+L285</f>
        <v>10764</v>
      </c>
      <c r="I285" s="226"/>
      <c r="J285" s="204">
        <v>9867</v>
      </c>
      <c r="K285" s="204"/>
      <c r="L285" s="204">
        <f>+J285+O285-N285</f>
        <v>10764</v>
      </c>
      <c r="M285" s="215"/>
      <c r="N285" s="204"/>
      <c r="O285" s="368">
        <v>897</v>
      </c>
    </row>
    <row r="286" spans="1:15">
      <c r="A286" s="214"/>
      <c r="B286" s="218"/>
      <c r="C286" s="218"/>
      <c r="D286" s="216"/>
      <c r="E286" s="21"/>
      <c r="F286" s="22"/>
      <c r="G286" s="545"/>
      <c r="H286" s="220">
        <f>SUM(H284:H285)</f>
        <v>15027</v>
      </c>
      <c r="I286" s="226">
        <f>+G283-H286</f>
        <v>0</v>
      </c>
      <c r="J286" s="204"/>
      <c r="K286" s="204"/>
      <c r="L286" s="204"/>
      <c r="M286" s="215"/>
      <c r="N286" s="204"/>
      <c r="O286" s="204"/>
    </row>
    <row r="287" spans="1:15">
      <c r="A287" s="417" t="s">
        <v>1074</v>
      </c>
      <c r="B287" s="218"/>
      <c r="C287" s="218"/>
      <c r="D287" s="216"/>
      <c r="E287" s="21">
        <v>290</v>
      </c>
      <c r="F287" s="22"/>
      <c r="G287" s="224">
        <f>+TB!C155</f>
        <v>173706</v>
      </c>
      <c r="H287" s="213"/>
      <c r="I287" s="226"/>
      <c r="J287" s="204"/>
      <c r="K287" s="204"/>
      <c r="L287" s="204"/>
      <c r="M287" s="215"/>
      <c r="N287" s="204"/>
      <c r="O287" s="204"/>
    </row>
    <row r="288" spans="1:15">
      <c r="A288" s="417"/>
      <c r="B288" s="105" t="s">
        <v>1075</v>
      </c>
      <c r="C288" s="218"/>
      <c r="D288" s="216"/>
      <c r="E288" s="21"/>
      <c r="F288" s="22" t="s">
        <v>128</v>
      </c>
      <c r="G288" s="224"/>
      <c r="H288" s="213"/>
      <c r="I288" s="226"/>
      <c r="J288" s="204"/>
      <c r="K288" s="204"/>
      <c r="L288" s="204"/>
      <c r="M288" s="215"/>
      <c r="N288" s="204"/>
      <c r="O288" s="204"/>
    </row>
    <row r="289" spans="1:15">
      <c r="A289" s="417"/>
      <c r="B289" s="105"/>
      <c r="C289" s="218" t="s">
        <v>1076</v>
      </c>
      <c r="D289" s="216"/>
      <c r="E289" s="21"/>
      <c r="F289" s="348" t="s">
        <v>128</v>
      </c>
      <c r="G289" s="224"/>
      <c r="H289" s="213">
        <f t="shared" ref="H289:H302" si="28">+L289</f>
        <v>23800</v>
      </c>
      <c r="I289" s="226"/>
      <c r="J289" s="204">
        <v>23800</v>
      </c>
      <c r="K289" s="204"/>
      <c r="L289" s="204">
        <f>+J289+N289-O289</f>
        <v>23800</v>
      </c>
      <c r="M289" s="215"/>
      <c r="N289" s="349"/>
      <c r="O289" s="204"/>
    </row>
    <row r="290" spans="1:15">
      <c r="A290" s="417"/>
      <c r="B290" s="13"/>
      <c r="C290" s="218" t="s">
        <v>301</v>
      </c>
      <c r="D290" s="216"/>
      <c r="E290" s="21"/>
      <c r="F290" s="348" t="s">
        <v>129</v>
      </c>
      <c r="G290" s="224"/>
      <c r="H290" s="213">
        <f t="shared" si="28"/>
        <v>10000</v>
      </c>
      <c r="I290" s="226"/>
      <c r="J290" s="204">
        <v>10000</v>
      </c>
      <c r="K290" s="204"/>
      <c r="L290" s="204">
        <f t="shared" ref="L290:L302" si="29">+J290+N290-O290</f>
        <v>10000</v>
      </c>
      <c r="M290" s="215"/>
      <c r="N290" s="349"/>
      <c r="O290" s="204"/>
    </row>
    <row r="291" spans="1:15">
      <c r="A291" s="417"/>
      <c r="B291" s="13"/>
      <c r="C291" s="218" t="s">
        <v>302</v>
      </c>
      <c r="D291" s="216"/>
      <c r="E291" s="21"/>
      <c r="F291" s="348" t="s">
        <v>132</v>
      </c>
      <c r="G291" s="224"/>
      <c r="H291" s="213">
        <f t="shared" si="28"/>
        <v>3415</v>
      </c>
      <c r="I291" s="226"/>
      <c r="J291" s="204">
        <v>3415</v>
      </c>
      <c r="K291" s="204"/>
      <c r="L291" s="204">
        <f t="shared" si="29"/>
        <v>3415</v>
      </c>
      <c r="M291" s="215"/>
      <c r="N291" s="349"/>
      <c r="O291" s="204"/>
    </row>
    <row r="292" spans="1:15">
      <c r="A292" s="417"/>
      <c r="B292" s="13"/>
      <c r="C292" s="218" t="s">
        <v>303</v>
      </c>
      <c r="D292" s="216"/>
      <c r="E292" s="21"/>
      <c r="F292" s="348" t="s">
        <v>133</v>
      </c>
      <c r="G292" s="224"/>
      <c r="H292" s="213">
        <f t="shared" si="28"/>
        <v>100000</v>
      </c>
      <c r="I292" s="226"/>
      <c r="J292" s="204">
        <v>100000</v>
      </c>
      <c r="K292" s="204"/>
      <c r="L292" s="204">
        <f t="shared" si="29"/>
        <v>100000</v>
      </c>
      <c r="M292" s="215"/>
      <c r="N292" s="349"/>
      <c r="O292" s="204"/>
    </row>
    <row r="293" spans="1:15">
      <c r="A293" s="417"/>
      <c r="B293" s="13"/>
      <c r="C293" s="105" t="s">
        <v>1077</v>
      </c>
      <c r="D293" s="216"/>
      <c r="E293" s="21"/>
      <c r="F293" s="348" t="s">
        <v>134</v>
      </c>
      <c r="G293" s="224"/>
      <c r="H293" s="213">
        <f t="shared" si="28"/>
        <v>9975</v>
      </c>
      <c r="I293" s="226"/>
      <c r="J293" s="204">
        <v>9975</v>
      </c>
      <c r="K293" s="204"/>
      <c r="L293" s="204">
        <f t="shared" si="29"/>
        <v>9975</v>
      </c>
      <c r="M293" s="215"/>
      <c r="N293" s="349"/>
      <c r="O293" s="204"/>
    </row>
    <row r="294" spans="1:15">
      <c r="A294" s="417"/>
      <c r="B294" s="218"/>
      <c r="C294" s="218" t="s">
        <v>402</v>
      </c>
      <c r="D294" s="216"/>
      <c r="E294" s="21"/>
      <c r="F294" s="348" t="s">
        <v>135</v>
      </c>
      <c r="G294" s="224"/>
      <c r="H294" s="213">
        <f>+L294</f>
        <v>3175</v>
      </c>
      <c r="I294" s="226"/>
      <c r="J294" s="204">
        <v>3175</v>
      </c>
      <c r="K294" s="204"/>
      <c r="L294" s="204">
        <f>+J294+N294-O294</f>
        <v>3175</v>
      </c>
      <c r="M294" s="215"/>
      <c r="N294" s="349"/>
      <c r="O294" s="204"/>
    </row>
    <row r="295" spans="1:15">
      <c r="A295" s="417"/>
      <c r="B295" s="218"/>
      <c r="C295" s="218" t="s">
        <v>311</v>
      </c>
      <c r="D295" s="216"/>
      <c r="E295" s="21"/>
      <c r="F295" s="348" t="s">
        <v>130</v>
      </c>
      <c r="G295" s="224"/>
      <c r="H295" s="213">
        <f t="shared" si="28"/>
        <v>1840</v>
      </c>
      <c r="I295" s="226"/>
      <c r="J295" s="204">
        <v>1840</v>
      </c>
      <c r="K295" s="204"/>
      <c r="L295" s="204">
        <f t="shared" si="29"/>
        <v>1840</v>
      </c>
      <c r="M295" s="215"/>
      <c r="N295" s="593"/>
      <c r="O295" s="204"/>
    </row>
    <row r="296" spans="1:15">
      <c r="A296" s="417"/>
      <c r="B296" s="218"/>
      <c r="C296" s="218" t="s">
        <v>312</v>
      </c>
      <c r="D296" s="216"/>
      <c r="E296" s="21"/>
      <c r="F296" s="348" t="s">
        <v>136</v>
      </c>
      <c r="G296" s="224"/>
      <c r="H296" s="213">
        <f t="shared" si="28"/>
        <v>591</v>
      </c>
      <c r="I296" s="226"/>
      <c r="J296" s="204">
        <v>591</v>
      </c>
      <c r="K296" s="204"/>
      <c r="L296" s="204">
        <f t="shared" si="29"/>
        <v>591</v>
      </c>
      <c r="M296" s="215"/>
      <c r="N296" s="349"/>
      <c r="O296" s="204"/>
    </row>
    <row r="297" spans="1:15">
      <c r="A297" s="417"/>
      <c r="B297" s="218"/>
      <c r="C297" s="218" t="s">
        <v>1013</v>
      </c>
      <c r="D297" s="216"/>
      <c r="E297" s="21"/>
      <c r="F297" s="348" t="s">
        <v>137</v>
      </c>
      <c r="G297" s="224"/>
      <c r="H297" s="213">
        <f t="shared" si="28"/>
        <v>3180</v>
      </c>
      <c r="I297" s="226"/>
      <c r="J297" s="204">
        <v>3180</v>
      </c>
      <c r="K297" s="204"/>
      <c r="L297" s="204">
        <f t="shared" si="29"/>
        <v>3180</v>
      </c>
      <c r="M297" s="215"/>
      <c r="N297" s="349"/>
      <c r="O297" s="204"/>
    </row>
    <row r="298" spans="1:15">
      <c r="A298" s="417"/>
      <c r="B298" s="218"/>
      <c r="C298" s="218" t="s">
        <v>314</v>
      </c>
      <c r="D298" s="216"/>
      <c r="E298" s="21"/>
      <c r="F298" s="348" t="s">
        <v>138</v>
      </c>
      <c r="G298" s="224"/>
      <c r="H298" s="213">
        <f t="shared" si="28"/>
        <v>1590</v>
      </c>
      <c r="I298" s="226"/>
      <c r="J298" s="204">
        <v>1590</v>
      </c>
      <c r="K298" s="204"/>
      <c r="L298" s="204">
        <f t="shared" si="29"/>
        <v>1590</v>
      </c>
      <c r="M298" s="215"/>
      <c r="N298" s="349"/>
      <c r="O298" s="204"/>
    </row>
    <row r="299" spans="1:15">
      <c r="A299" s="417"/>
      <c r="B299" s="218"/>
      <c r="C299" s="218" t="s">
        <v>318</v>
      </c>
      <c r="D299" s="216"/>
      <c r="E299" s="21"/>
      <c r="F299" s="348" t="s">
        <v>139</v>
      </c>
      <c r="G299" s="224"/>
      <c r="H299" s="213">
        <f t="shared" si="28"/>
        <v>3080</v>
      </c>
      <c r="I299" s="226"/>
      <c r="J299" s="204">
        <v>3080</v>
      </c>
      <c r="K299" s="204"/>
      <c r="L299" s="204">
        <f t="shared" si="29"/>
        <v>3080</v>
      </c>
      <c r="M299" s="215"/>
      <c r="N299" s="349"/>
      <c r="O299" s="204"/>
    </row>
    <row r="300" spans="1:15">
      <c r="A300" s="417"/>
      <c r="B300" s="218"/>
      <c r="C300" s="218" t="s">
        <v>317</v>
      </c>
      <c r="D300" s="216"/>
      <c r="E300" s="21"/>
      <c r="F300" s="348" t="s">
        <v>140</v>
      </c>
      <c r="G300" s="224"/>
      <c r="H300" s="213">
        <f t="shared" si="28"/>
        <v>1500</v>
      </c>
      <c r="I300" s="226"/>
      <c r="J300" s="204">
        <v>1500</v>
      </c>
      <c r="K300" s="204"/>
      <c r="L300" s="204">
        <f t="shared" si="29"/>
        <v>1500</v>
      </c>
      <c r="M300" s="215"/>
      <c r="N300" s="349"/>
      <c r="O300" s="204"/>
    </row>
    <row r="301" spans="1:15">
      <c r="A301" s="417"/>
      <c r="B301" s="218"/>
      <c r="C301" s="218" t="s">
        <v>316</v>
      </c>
      <c r="D301" s="216"/>
      <c r="E301" s="21"/>
      <c r="F301" s="348" t="s">
        <v>141</v>
      </c>
      <c r="G301" s="224"/>
      <c r="H301" s="213">
        <f t="shared" si="28"/>
        <v>7760</v>
      </c>
      <c r="I301" s="226"/>
      <c r="J301" s="204">
        <v>7760</v>
      </c>
      <c r="K301" s="204"/>
      <c r="L301" s="204">
        <f t="shared" si="29"/>
        <v>7760</v>
      </c>
      <c r="M301" s="215"/>
      <c r="N301" s="349"/>
      <c r="O301" s="204"/>
    </row>
    <row r="302" spans="1:15">
      <c r="A302" s="417"/>
      <c r="B302" s="218"/>
      <c r="C302" s="218" t="s">
        <v>315</v>
      </c>
      <c r="D302" s="216"/>
      <c r="E302" s="21"/>
      <c r="F302" s="348" t="s">
        <v>142</v>
      </c>
      <c r="G302" s="224"/>
      <c r="H302" s="213">
        <f t="shared" si="28"/>
        <v>3800</v>
      </c>
      <c r="I302" s="226"/>
      <c r="J302" s="204">
        <v>3800</v>
      </c>
      <c r="K302" s="204"/>
      <c r="L302" s="204">
        <f t="shared" si="29"/>
        <v>3800</v>
      </c>
      <c r="M302" s="215"/>
      <c r="N302" s="349"/>
      <c r="O302" s="204"/>
    </row>
    <row r="303" spans="1:15">
      <c r="A303" s="417"/>
      <c r="B303" s="218"/>
      <c r="C303" s="218"/>
      <c r="D303" s="216"/>
      <c r="E303" s="21"/>
      <c r="F303" s="22"/>
      <c r="G303" s="224"/>
      <c r="H303" s="220">
        <f>SUM(H289:H302)</f>
        <v>173706</v>
      </c>
      <c r="I303" s="226">
        <f>+G287-H303</f>
        <v>0</v>
      </c>
      <c r="J303" s="204"/>
      <c r="K303" s="204"/>
      <c r="L303" s="204"/>
      <c r="M303" s="215"/>
      <c r="N303" s="601"/>
      <c r="O303" s="204"/>
    </row>
    <row r="304" spans="1:15">
      <c r="A304" s="214" t="s">
        <v>38</v>
      </c>
      <c r="B304" s="215"/>
      <c r="C304" s="215"/>
      <c r="D304" s="216"/>
      <c r="E304" s="21">
        <v>401</v>
      </c>
      <c r="F304" s="210"/>
      <c r="G304" s="224">
        <f>+TB!E156</f>
        <v>246650.0000000007</v>
      </c>
      <c r="H304" s="213"/>
      <c r="I304" s="215"/>
      <c r="J304" s="204">
        <v>0</v>
      </c>
      <c r="K304" s="204"/>
      <c r="L304" s="204">
        <f>+J304+N304-O304</f>
        <v>0</v>
      </c>
      <c r="M304" s="215"/>
      <c r="N304" s="204"/>
      <c r="O304" s="204"/>
    </row>
    <row r="305" spans="1:15" hidden="1">
      <c r="A305" s="214"/>
      <c r="B305" s="105" t="s">
        <v>1067</v>
      </c>
      <c r="C305" s="215"/>
      <c r="D305" s="216"/>
      <c r="E305" s="23"/>
      <c r="F305" s="348" t="s">
        <v>128</v>
      </c>
      <c r="G305" s="545"/>
      <c r="H305" s="213">
        <f t="shared" ref="H305:H319" si="30">+L305</f>
        <v>0</v>
      </c>
      <c r="I305" s="215"/>
      <c r="J305" s="204">
        <v>0</v>
      </c>
      <c r="K305" s="204"/>
      <c r="L305" s="204">
        <f t="shared" ref="L305:L320" si="31">+J305+O305-N305</f>
        <v>0</v>
      </c>
      <c r="M305" s="215"/>
      <c r="N305" s="204"/>
      <c r="O305" s="204"/>
    </row>
    <row r="306" spans="1:15">
      <c r="A306" s="214"/>
      <c r="B306" s="105" t="s">
        <v>973</v>
      </c>
      <c r="C306" s="215"/>
      <c r="D306" s="216"/>
      <c r="E306" s="23"/>
      <c r="F306" s="348" t="s">
        <v>129</v>
      </c>
      <c r="G306" s="545"/>
      <c r="H306" s="213">
        <f t="shared" si="30"/>
        <v>156000</v>
      </c>
      <c r="I306" s="215"/>
      <c r="J306" s="204">
        <v>156000</v>
      </c>
      <c r="K306" s="204"/>
      <c r="L306" s="204">
        <f t="shared" si="31"/>
        <v>156000</v>
      </c>
      <c r="M306" s="215"/>
      <c r="N306" s="204"/>
      <c r="O306" s="204"/>
    </row>
    <row r="307" spans="1:15">
      <c r="A307" s="214"/>
      <c r="B307" s="218" t="s">
        <v>380</v>
      </c>
      <c r="C307" s="215"/>
      <c r="D307" s="216"/>
      <c r="E307" s="23"/>
      <c r="F307" s="348" t="s">
        <v>132</v>
      </c>
      <c r="G307" s="545"/>
      <c r="H307" s="213">
        <f t="shared" si="30"/>
        <v>62500</v>
      </c>
      <c r="I307" s="215"/>
      <c r="J307" s="204">
        <v>62500</v>
      </c>
      <c r="K307" s="204"/>
      <c r="L307" s="204">
        <f t="shared" si="31"/>
        <v>62500</v>
      </c>
      <c r="M307" s="215"/>
      <c r="N307" s="204"/>
      <c r="O307" s="204"/>
    </row>
    <row r="308" spans="1:15" hidden="1">
      <c r="A308" s="214"/>
      <c r="B308" s="105" t="s">
        <v>1066</v>
      </c>
      <c r="C308" s="215"/>
      <c r="D308" s="216"/>
      <c r="E308" s="23"/>
      <c r="F308" s="348" t="s">
        <v>133</v>
      </c>
      <c r="G308" s="545"/>
      <c r="H308" s="213">
        <f t="shared" si="30"/>
        <v>0</v>
      </c>
      <c r="I308" s="215"/>
      <c r="J308" s="204">
        <v>0</v>
      </c>
      <c r="K308" s="204"/>
      <c r="L308" s="204">
        <f t="shared" si="31"/>
        <v>0</v>
      </c>
      <c r="M308" s="215"/>
      <c r="N308" s="204"/>
      <c r="O308" s="204"/>
    </row>
    <row r="309" spans="1:15" hidden="1">
      <c r="A309" s="214"/>
      <c r="B309" s="105" t="s">
        <v>1070</v>
      </c>
      <c r="C309" s="215"/>
      <c r="D309" s="216"/>
      <c r="E309" s="23"/>
      <c r="F309" s="348" t="s">
        <v>134</v>
      </c>
      <c r="G309" s="545"/>
      <c r="H309" s="213">
        <f t="shared" si="30"/>
        <v>0</v>
      </c>
      <c r="I309" s="215"/>
      <c r="J309" s="204">
        <v>0</v>
      </c>
      <c r="K309" s="204"/>
      <c r="L309" s="204">
        <f t="shared" si="31"/>
        <v>0</v>
      </c>
      <c r="M309" s="215"/>
      <c r="N309" s="204"/>
      <c r="O309" s="204"/>
    </row>
    <row r="310" spans="1:15" hidden="1">
      <c r="A310" s="214"/>
      <c r="B310" s="105" t="s">
        <v>1069</v>
      </c>
      <c r="C310" s="215"/>
      <c r="D310" s="216"/>
      <c r="E310" s="23"/>
      <c r="F310" s="348" t="s">
        <v>135</v>
      </c>
      <c r="G310" s="545"/>
      <c r="H310" s="213">
        <f t="shared" si="30"/>
        <v>0</v>
      </c>
      <c r="I310" s="215"/>
      <c r="J310" s="204">
        <v>0</v>
      </c>
      <c r="K310" s="204"/>
      <c r="L310" s="204">
        <f t="shared" si="31"/>
        <v>0</v>
      </c>
      <c r="M310" s="215"/>
      <c r="N310" s="204"/>
      <c r="O310" s="204"/>
    </row>
    <row r="311" spans="1:15" hidden="1">
      <c r="A311" s="214"/>
      <c r="B311" s="105" t="s">
        <v>937</v>
      </c>
      <c r="C311" s="215"/>
      <c r="D311" s="216"/>
      <c r="E311" s="23"/>
      <c r="F311" s="348" t="s">
        <v>130</v>
      </c>
      <c r="G311" s="545"/>
      <c r="H311" s="213">
        <f t="shared" si="30"/>
        <v>0</v>
      </c>
      <c r="I311" s="215"/>
      <c r="J311" s="204">
        <v>0</v>
      </c>
      <c r="K311" s="204"/>
      <c r="L311" s="204">
        <f t="shared" si="31"/>
        <v>0</v>
      </c>
      <c r="M311" s="215"/>
      <c r="N311" s="204"/>
      <c r="O311" s="204"/>
    </row>
    <row r="312" spans="1:15">
      <c r="A312" s="214"/>
      <c r="B312" s="105" t="s">
        <v>972</v>
      </c>
      <c r="C312" s="215"/>
      <c r="D312" s="216"/>
      <c r="E312" s="23"/>
      <c r="F312" s="348" t="s">
        <v>136</v>
      </c>
      <c r="G312" s="545"/>
      <c r="H312" s="213">
        <f t="shared" si="30"/>
        <v>10000</v>
      </c>
      <c r="I312" s="215"/>
      <c r="J312" s="204">
        <v>10000</v>
      </c>
      <c r="K312" s="204"/>
      <c r="L312" s="204">
        <f t="shared" si="31"/>
        <v>10000</v>
      </c>
      <c r="M312" s="215"/>
      <c r="N312" s="204"/>
      <c r="O312" s="204"/>
    </row>
    <row r="313" spans="1:15" hidden="1">
      <c r="A313" s="214"/>
      <c r="B313" s="105" t="s">
        <v>1065</v>
      </c>
      <c r="C313" s="215"/>
      <c r="D313" s="216"/>
      <c r="E313" s="23"/>
      <c r="F313" s="348" t="s">
        <v>137</v>
      </c>
      <c r="G313" s="545"/>
      <c r="H313" s="213">
        <f t="shared" si="30"/>
        <v>0</v>
      </c>
      <c r="I313" s="215"/>
      <c r="J313" s="204">
        <v>0</v>
      </c>
      <c r="K313" s="204"/>
      <c r="L313" s="204">
        <f t="shared" si="31"/>
        <v>0</v>
      </c>
      <c r="M313" s="215"/>
      <c r="N313" s="204"/>
      <c r="O313" s="204"/>
    </row>
    <row r="314" spans="1:15" hidden="1">
      <c r="A314" s="214"/>
      <c r="B314" s="105" t="s">
        <v>1068</v>
      </c>
      <c r="C314" s="215"/>
      <c r="D314" s="216"/>
      <c r="E314" s="23"/>
      <c r="F314" s="348" t="s">
        <v>138</v>
      </c>
      <c r="G314" s="545"/>
      <c r="H314" s="213">
        <f t="shared" si="30"/>
        <v>0</v>
      </c>
      <c r="I314" s="215"/>
      <c r="J314" s="204">
        <v>0</v>
      </c>
      <c r="K314" s="204"/>
      <c r="L314" s="204">
        <f t="shared" si="31"/>
        <v>0</v>
      </c>
      <c r="M314" s="215"/>
      <c r="N314" s="204"/>
      <c r="O314" s="204"/>
    </row>
    <row r="315" spans="1:15">
      <c r="A315" s="214"/>
      <c r="B315" s="105" t="s">
        <v>974</v>
      </c>
      <c r="C315" s="215"/>
      <c r="D315" s="216"/>
      <c r="E315" s="23"/>
      <c r="F315" s="348" t="s">
        <v>139</v>
      </c>
      <c r="G315" s="545"/>
      <c r="H315" s="213">
        <f t="shared" si="30"/>
        <v>550</v>
      </c>
      <c r="I315" s="215"/>
      <c r="J315" s="204">
        <v>550</v>
      </c>
      <c r="K315" s="204"/>
      <c r="L315" s="204">
        <f t="shared" si="31"/>
        <v>550</v>
      </c>
      <c r="M315" s="215"/>
      <c r="N315" s="204"/>
      <c r="O315" s="204"/>
    </row>
    <row r="316" spans="1:15">
      <c r="A316" s="214"/>
      <c r="B316" s="218" t="s">
        <v>382</v>
      </c>
      <c r="C316" s="215"/>
      <c r="D316" s="216"/>
      <c r="E316" s="23"/>
      <c r="F316" s="348" t="s">
        <v>140</v>
      </c>
      <c r="G316" s="545"/>
      <c r="H316" s="213">
        <f t="shared" si="30"/>
        <v>12600</v>
      </c>
      <c r="I316" s="215"/>
      <c r="J316" s="204">
        <v>12600</v>
      </c>
      <c r="K316" s="204"/>
      <c r="L316" s="204">
        <f t="shared" si="31"/>
        <v>12600</v>
      </c>
      <c r="M316" s="215"/>
      <c r="N316" s="204"/>
      <c r="O316" s="204"/>
    </row>
    <row r="317" spans="1:15" hidden="1">
      <c r="A317" s="214"/>
      <c r="B317" s="105" t="s">
        <v>965</v>
      </c>
      <c r="C317" s="215"/>
      <c r="D317" s="216"/>
      <c r="E317" s="23"/>
      <c r="F317" s="348" t="s">
        <v>141</v>
      </c>
      <c r="G317" s="545"/>
      <c r="H317" s="213">
        <f t="shared" si="30"/>
        <v>0</v>
      </c>
      <c r="I317" s="215"/>
      <c r="J317" s="204">
        <v>0</v>
      </c>
      <c r="K317" s="204"/>
      <c r="L317" s="204">
        <f t="shared" si="31"/>
        <v>0</v>
      </c>
      <c r="M317" s="215"/>
      <c r="N317" s="204"/>
      <c r="O317" s="204"/>
    </row>
    <row r="318" spans="1:15">
      <c r="A318" s="214"/>
      <c r="B318" s="218" t="s">
        <v>381</v>
      </c>
      <c r="C318" s="215"/>
      <c r="D318" s="216"/>
      <c r="E318" s="23"/>
      <c r="F318" s="348" t="s">
        <v>142</v>
      </c>
      <c r="G318" s="545"/>
      <c r="H318" s="213">
        <f t="shared" si="30"/>
        <v>4500</v>
      </c>
      <c r="I318" s="215"/>
      <c r="J318" s="204">
        <v>4500</v>
      </c>
      <c r="K318" s="204"/>
      <c r="L318" s="204">
        <f t="shared" si="31"/>
        <v>4500</v>
      </c>
      <c r="M318" s="215"/>
      <c r="N318" s="204"/>
      <c r="O318" s="204"/>
    </row>
    <row r="319" spans="1:15">
      <c r="A319" s="214"/>
      <c r="B319" s="105" t="s">
        <v>975</v>
      </c>
      <c r="C319" s="215"/>
      <c r="D319" s="216"/>
      <c r="E319" s="23"/>
      <c r="F319" s="348" t="s">
        <v>143</v>
      </c>
      <c r="G319" s="545"/>
      <c r="H319" s="213">
        <f t="shared" si="30"/>
        <v>500</v>
      </c>
      <c r="I319" s="215"/>
      <c r="J319" s="204">
        <v>500</v>
      </c>
      <c r="K319" s="204"/>
      <c r="L319" s="204">
        <f t="shared" si="31"/>
        <v>500</v>
      </c>
      <c r="M319" s="215"/>
      <c r="N319" s="204"/>
      <c r="O319" s="204"/>
    </row>
    <row r="320" spans="1:15">
      <c r="A320" s="214"/>
      <c r="B320" s="215"/>
      <c r="C320" s="215"/>
      <c r="D320" s="216"/>
      <c r="E320" s="23"/>
      <c r="F320" s="219"/>
      <c r="G320" s="545"/>
      <c r="H320" s="225">
        <f>SUM(H305:H319)</f>
        <v>246650</v>
      </c>
      <c r="I320" s="226">
        <f>+H320-G304</f>
        <v>-6.9849193096160889E-10</v>
      </c>
      <c r="J320" s="204">
        <v>0</v>
      </c>
      <c r="K320" s="204"/>
      <c r="L320" s="204">
        <f t="shared" si="31"/>
        <v>0</v>
      </c>
      <c r="M320" s="215"/>
      <c r="N320" s="204"/>
      <c r="O320" s="204"/>
    </row>
    <row r="321" spans="1:15">
      <c r="A321" s="214" t="s">
        <v>39</v>
      </c>
      <c r="B321" s="215"/>
      <c r="C321" s="215"/>
      <c r="D321" s="216"/>
      <c r="E321" s="127">
        <v>403</v>
      </c>
      <c r="F321" s="374"/>
      <c r="G321" s="224">
        <f>+TB!E158</f>
        <v>235063.82999999967</v>
      </c>
      <c r="H321" s="217"/>
      <c r="I321" s="215"/>
      <c r="J321" s="224">
        <v>0</v>
      </c>
      <c r="K321" s="224"/>
      <c r="L321" s="204">
        <f>+J321+O321-N321</f>
        <v>0</v>
      </c>
      <c r="M321" s="215"/>
      <c r="N321" s="204"/>
      <c r="O321" s="204"/>
    </row>
    <row r="322" spans="1:15">
      <c r="A322" s="214"/>
      <c r="B322" s="350" t="s">
        <v>977</v>
      </c>
      <c r="C322" s="215"/>
      <c r="D322" s="216"/>
      <c r="E322" s="127"/>
      <c r="F322" s="573" t="s">
        <v>128</v>
      </c>
      <c r="G322" s="224"/>
      <c r="H322" s="217"/>
      <c r="I322" s="215"/>
      <c r="J322" s="224"/>
      <c r="K322" s="224"/>
      <c r="L322" s="204"/>
      <c r="M322" s="215"/>
      <c r="N322" s="204"/>
      <c r="O322" s="204"/>
    </row>
    <row r="323" spans="1:15">
      <c r="A323" s="214"/>
      <c r="B323" s="13"/>
      <c r="C323" s="105" t="s">
        <v>1071</v>
      </c>
      <c r="D323" s="216"/>
      <c r="E323" s="23"/>
      <c r="F323" s="360" t="s">
        <v>128</v>
      </c>
      <c r="G323" s="545"/>
      <c r="H323" s="213">
        <f t="shared" ref="H323:H342" si="32">+L323</f>
        <v>141617.76</v>
      </c>
      <c r="I323" s="215"/>
      <c r="J323" s="204">
        <v>141617.76</v>
      </c>
      <c r="K323" s="204"/>
      <c r="L323" s="204">
        <f t="shared" ref="L323:L342" si="33">+J323+O323-N323</f>
        <v>141617.76</v>
      </c>
      <c r="M323" s="215"/>
      <c r="N323" s="204"/>
      <c r="O323" s="204"/>
    </row>
    <row r="324" spans="1:15">
      <c r="A324" s="214"/>
      <c r="B324" s="13"/>
      <c r="C324" s="105" t="s">
        <v>471</v>
      </c>
      <c r="D324" s="216"/>
      <c r="E324" s="23"/>
      <c r="F324" s="360" t="s">
        <v>129</v>
      </c>
      <c r="G324" s="545"/>
      <c r="H324" s="213">
        <f t="shared" si="32"/>
        <v>61000</v>
      </c>
      <c r="I324" s="215"/>
      <c r="J324" s="204">
        <v>61000</v>
      </c>
      <c r="K324" s="204"/>
      <c r="L324" s="204">
        <f t="shared" si="33"/>
        <v>61000</v>
      </c>
      <c r="M324" s="215"/>
      <c r="N324" s="204"/>
      <c r="O324" s="204"/>
    </row>
    <row r="325" spans="1:15" hidden="1">
      <c r="A325" s="214"/>
      <c r="B325" s="13"/>
      <c r="C325" s="105" t="s">
        <v>967</v>
      </c>
      <c r="D325" s="216"/>
      <c r="E325" s="23"/>
      <c r="F325" s="360" t="s">
        <v>132</v>
      </c>
      <c r="G325" s="545"/>
      <c r="H325" s="213">
        <f t="shared" si="32"/>
        <v>0</v>
      </c>
      <c r="I325" s="215"/>
      <c r="J325" s="204">
        <v>0</v>
      </c>
      <c r="K325" s="204"/>
      <c r="L325" s="204">
        <f t="shared" si="33"/>
        <v>0</v>
      </c>
      <c r="M325" s="215"/>
      <c r="N325" s="204"/>
      <c r="O325" s="204"/>
    </row>
    <row r="326" spans="1:15">
      <c r="A326" s="214"/>
      <c r="B326" s="13"/>
      <c r="C326" s="218" t="s">
        <v>383</v>
      </c>
      <c r="D326" s="216"/>
      <c r="E326" s="23"/>
      <c r="F326" s="360" t="s">
        <v>133</v>
      </c>
      <c r="G326" s="545"/>
      <c r="H326" s="213">
        <f t="shared" si="32"/>
        <v>10380.84</v>
      </c>
      <c r="I326" s="215"/>
      <c r="J326" s="224">
        <v>10380.84</v>
      </c>
      <c r="K326" s="224"/>
      <c r="L326" s="204">
        <f t="shared" si="33"/>
        <v>10380.84</v>
      </c>
      <c r="M326" s="215"/>
      <c r="N326" s="204"/>
      <c r="O326" s="204"/>
    </row>
    <row r="327" spans="1:15" hidden="1">
      <c r="A327" s="214"/>
      <c r="B327" s="13"/>
      <c r="C327" s="105" t="s">
        <v>472</v>
      </c>
      <c r="D327" s="216"/>
      <c r="E327" s="23"/>
      <c r="F327" s="360" t="s">
        <v>134</v>
      </c>
      <c r="G327" s="545"/>
      <c r="H327" s="213">
        <f t="shared" si="32"/>
        <v>0</v>
      </c>
      <c r="I327" s="215"/>
      <c r="J327" s="204">
        <v>0</v>
      </c>
      <c r="K327" s="204"/>
      <c r="L327" s="204">
        <f t="shared" si="33"/>
        <v>0</v>
      </c>
      <c r="M327" s="215"/>
      <c r="N327" s="204"/>
      <c r="O327" s="204"/>
    </row>
    <row r="328" spans="1:15" hidden="1">
      <c r="A328" s="214"/>
      <c r="B328" s="13"/>
      <c r="C328" s="105" t="s">
        <v>968</v>
      </c>
      <c r="D328" s="216"/>
      <c r="E328" s="23"/>
      <c r="F328" s="360" t="s">
        <v>135</v>
      </c>
      <c r="G328" s="545"/>
      <c r="H328" s="213">
        <f t="shared" si="32"/>
        <v>0</v>
      </c>
      <c r="I328" s="215"/>
      <c r="J328" s="204">
        <v>0</v>
      </c>
      <c r="K328" s="204"/>
      <c r="L328" s="204">
        <f t="shared" si="33"/>
        <v>0</v>
      </c>
      <c r="M328" s="215"/>
      <c r="N328" s="204"/>
      <c r="O328" s="204"/>
    </row>
    <row r="329" spans="1:15">
      <c r="A329" s="214"/>
      <c r="B329" s="13"/>
      <c r="C329" s="218" t="s">
        <v>384</v>
      </c>
      <c r="D329" s="216"/>
      <c r="E329" s="23"/>
      <c r="F329" s="360" t="s">
        <v>130</v>
      </c>
      <c r="G329" s="545"/>
      <c r="H329" s="213">
        <f t="shared" si="32"/>
        <v>1382.64</v>
      </c>
      <c r="I329" s="215"/>
      <c r="J329" s="204">
        <v>1382.64</v>
      </c>
      <c r="K329" s="204"/>
      <c r="L329" s="204">
        <f t="shared" si="33"/>
        <v>1382.64</v>
      </c>
      <c r="M329" s="215"/>
      <c r="N329" s="204"/>
      <c r="O329" s="204"/>
    </row>
    <row r="330" spans="1:15" hidden="1">
      <c r="A330" s="214"/>
      <c r="B330" s="13"/>
      <c r="C330" s="105" t="s">
        <v>966</v>
      </c>
      <c r="D330" s="216"/>
      <c r="E330" s="23"/>
      <c r="F330" s="360" t="s">
        <v>136</v>
      </c>
      <c r="G330" s="545"/>
      <c r="H330" s="213">
        <f t="shared" si="32"/>
        <v>0</v>
      </c>
      <c r="I330" s="215"/>
      <c r="J330" s="204">
        <v>0</v>
      </c>
      <c r="K330" s="204"/>
      <c r="L330" s="204">
        <f t="shared" si="33"/>
        <v>0</v>
      </c>
      <c r="M330" s="215"/>
      <c r="N330" s="204"/>
      <c r="O330" s="204"/>
    </row>
    <row r="331" spans="1:15">
      <c r="A331" s="214"/>
      <c r="B331" s="13"/>
      <c r="C331" s="105" t="s">
        <v>473</v>
      </c>
      <c r="D331" s="216"/>
      <c r="E331" s="23"/>
      <c r="F331" s="360" t="s">
        <v>137</v>
      </c>
      <c r="G331" s="545"/>
      <c r="H331" s="213">
        <f t="shared" si="32"/>
        <v>4000</v>
      </c>
      <c r="I331" s="215"/>
      <c r="J331" s="204">
        <v>4000</v>
      </c>
      <c r="K331" s="204"/>
      <c r="L331" s="204">
        <f t="shared" si="33"/>
        <v>4000</v>
      </c>
      <c r="M331" s="215"/>
      <c r="N331" s="204"/>
      <c r="O331" s="204"/>
    </row>
    <row r="332" spans="1:15">
      <c r="A332" s="214"/>
      <c r="B332" s="13"/>
      <c r="C332" s="218" t="s">
        <v>385</v>
      </c>
      <c r="D332" s="216"/>
      <c r="E332" s="23"/>
      <c r="F332" s="360" t="s">
        <v>138</v>
      </c>
      <c r="G332" s="545"/>
      <c r="H332" s="213">
        <f t="shared" si="32"/>
        <v>649.46</v>
      </c>
      <c r="I332" s="215"/>
      <c r="J332" s="204">
        <v>649.46</v>
      </c>
      <c r="K332" s="204"/>
      <c r="L332" s="204">
        <f t="shared" si="33"/>
        <v>649.46</v>
      </c>
      <c r="M332" s="215"/>
      <c r="N332" s="204"/>
      <c r="O332" s="226"/>
    </row>
    <row r="333" spans="1:15">
      <c r="A333" s="214"/>
      <c r="B333" s="13"/>
      <c r="C333" s="218" t="s">
        <v>386</v>
      </c>
      <c r="D333" s="216"/>
      <c r="E333" s="23"/>
      <c r="F333" s="360" t="s">
        <v>139</v>
      </c>
      <c r="G333" s="545"/>
      <c r="H333" s="213">
        <f t="shared" si="32"/>
        <v>1086.6600000000001</v>
      </c>
      <c r="I333" s="215"/>
      <c r="J333" s="204">
        <v>1086.6600000000001</v>
      </c>
      <c r="K333" s="204"/>
      <c r="L333" s="204">
        <f t="shared" si="33"/>
        <v>1086.6600000000001</v>
      </c>
      <c r="M333" s="215"/>
      <c r="N333" s="204"/>
      <c r="O333" s="204"/>
    </row>
    <row r="334" spans="1:15">
      <c r="A334" s="214"/>
      <c r="B334" s="13"/>
      <c r="C334" s="105" t="s">
        <v>474</v>
      </c>
      <c r="D334" s="216"/>
      <c r="E334" s="23"/>
      <c r="F334" s="360" t="s">
        <v>140</v>
      </c>
      <c r="G334" s="545"/>
      <c r="H334" s="213">
        <f t="shared" si="32"/>
        <v>3930</v>
      </c>
      <c r="I334" s="215"/>
      <c r="J334" s="204">
        <v>3930</v>
      </c>
      <c r="K334" s="204"/>
      <c r="L334" s="204">
        <f t="shared" si="33"/>
        <v>3930</v>
      </c>
      <c r="M334" s="215"/>
      <c r="N334" s="204"/>
      <c r="O334" s="204"/>
    </row>
    <row r="335" spans="1:15" hidden="1">
      <c r="A335" s="214"/>
      <c r="B335" s="13"/>
      <c r="C335" s="105" t="s">
        <v>964</v>
      </c>
      <c r="D335" s="216"/>
      <c r="E335" s="23"/>
      <c r="F335" s="360" t="s">
        <v>141</v>
      </c>
      <c r="G335" s="545"/>
      <c r="H335" s="213">
        <f t="shared" si="32"/>
        <v>0</v>
      </c>
      <c r="I335" s="215"/>
      <c r="J335" s="204">
        <v>0</v>
      </c>
      <c r="K335" s="204"/>
      <c r="L335" s="204">
        <f t="shared" si="33"/>
        <v>0</v>
      </c>
      <c r="M335" s="215"/>
      <c r="N335" s="204"/>
      <c r="O335" s="204"/>
    </row>
    <row r="336" spans="1:15">
      <c r="A336" s="214"/>
      <c r="B336" s="13"/>
      <c r="C336" s="218" t="s">
        <v>387</v>
      </c>
      <c r="D336" s="216"/>
      <c r="E336" s="23"/>
      <c r="F336" s="360" t="s">
        <v>142</v>
      </c>
      <c r="G336" s="545"/>
      <c r="H336" s="213">
        <f t="shared" si="32"/>
        <v>723.76</v>
      </c>
      <c r="I336" s="215"/>
      <c r="J336" s="204">
        <v>723.76</v>
      </c>
      <c r="K336" s="204"/>
      <c r="L336" s="204">
        <f t="shared" si="33"/>
        <v>723.76</v>
      </c>
      <c r="M336" s="215"/>
      <c r="N336" s="204"/>
      <c r="O336" s="204"/>
    </row>
    <row r="337" spans="1:15">
      <c r="A337" s="214"/>
      <c r="B337" s="13"/>
      <c r="C337" s="218" t="s">
        <v>388</v>
      </c>
      <c r="D337" s="216"/>
      <c r="E337" s="23"/>
      <c r="F337" s="360" t="s">
        <v>143</v>
      </c>
      <c r="G337" s="545"/>
      <c r="H337" s="213">
        <f t="shared" si="32"/>
        <v>1362.05</v>
      </c>
      <c r="I337" s="215"/>
      <c r="J337" s="204">
        <v>1362.05</v>
      </c>
      <c r="K337" s="204"/>
      <c r="L337" s="204">
        <f t="shared" si="33"/>
        <v>1362.05</v>
      </c>
      <c r="M337" s="215"/>
      <c r="N337" s="204"/>
      <c r="O337" s="204"/>
    </row>
    <row r="338" spans="1:15">
      <c r="A338" s="214"/>
      <c r="B338" s="13"/>
      <c r="C338" s="218" t="s">
        <v>389</v>
      </c>
      <c r="D338" s="216"/>
      <c r="E338" s="23"/>
      <c r="F338" s="360" t="s">
        <v>144</v>
      </c>
      <c r="G338" s="545"/>
      <c r="H338" s="213">
        <f t="shared" si="32"/>
        <v>1392.06</v>
      </c>
      <c r="I338" s="215"/>
      <c r="J338" s="204">
        <v>1392.06</v>
      </c>
      <c r="K338" s="204"/>
      <c r="L338" s="204">
        <f t="shared" si="33"/>
        <v>1392.06</v>
      </c>
      <c r="M338" s="215"/>
      <c r="N338" s="204"/>
      <c r="O338" s="204"/>
    </row>
    <row r="339" spans="1:15">
      <c r="A339" s="214"/>
      <c r="B339" s="13"/>
      <c r="C339" s="218" t="s">
        <v>390</v>
      </c>
      <c r="D339" s="216"/>
      <c r="E339" s="23"/>
      <c r="F339" s="360" t="s">
        <v>146</v>
      </c>
      <c r="G339" s="545"/>
      <c r="H339" s="213">
        <f t="shared" si="32"/>
        <v>1303.6600000000001</v>
      </c>
      <c r="I339" s="215"/>
      <c r="J339" s="204">
        <v>1303.6600000000001</v>
      </c>
      <c r="K339" s="204"/>
      <c r="L339" s="204">
        <f t="shared" si="33"/>
        <v>1303.6600000000001</v>
      </c>
      <c r="M339" s="215"/>
      <c r="N339" s="204"/>
      <c r="O339" s="204"/>
    </row>
    <row r="340" spans="1:15">
      <c r="A340" s="214"/>
      <c r="B340" s="13"/>
      <c r="C340" s="218" t="s">
        <v>391</v>
      </c>
      <c r="D340" s="216"/>
      <c r="E340" s="23"/>
      <c r="F340" s="360" t="s">
        <v>147</v>
      </c>
      <c r="G340" s="545"/>
      <c r="H340" s="213">
        <f t="shared" si="32"/>
        <v>603.61</v>
      </c>
      <c r="I340" s="215"/>
      <c r="J340" s="204">
        <v>603.61</v>
      </c>
      <c r="K340" s="204"/>
      <c r="L340" s="204">
        <f t="shared" si="33"/>
        <v>603.61</v>
      </c>
      <c r="M340" s="215"/>
      <c r="N340" s="204"/>
      <c r="O340" s="204"/>
    </row>
    <row r="341" spans="1:15">
      <c r="A341" s="214"/>
      <c r="B341" s="13"/>
      <c r="C341" s="218" t="s">
        <v>392</v>
      </c>
      <c r="D341" s="216"/>
      <c r="E341" s="23"/>
      <c r="F341" s="360" t="s">
        <v>148</v>
      </c>
      <c r="G341" s="545"/>
      <c r="H341" s="213">
        <f t="shared" si="32"/>
        <v>754.83</v>
      </c>
      <c r="I341" s="215"/>
      <c r="J341" s="204">
        <v>754.83</v>
      </c>
      <c r="K341" s="204"/>
      <c r="L341" s="204">
        <f t="shared" si="33"/>
        <v>754.83</v>
      </c>
      <c r="M341" s="215"/>
      <c r="N341" s="204"/>
      <c r="O341" s="204"/>
    </row>
    <row r="342" spans="1:15">
      <c r="A342" s="214"/>
      <c r="B342" s="13"/>
      <c r="C342" s="218" t="s">
        <v>393</v>
      </c>
      <c r="D342" s="216"/>
      <c r="E342" s="23"/>
      <c r="F342" s="360" t="s">
        <v>149</v>
      </c>
      <c r="G342" s="545"/>
      <c r="H342" s="213">
        <f t="shared" si="32"/>
        <v>563.91</v>
      </c>
      <c r="I342" s="215"/>
      <c r="J342" s="204">
        <v>563.91</v>
      </c>
      <c r="K342" s="204"/>
      <c r="L342" s="204">
        <f t="shared" si="33"/>
        <v>563.91</v>
      </c>
      <c r="M342" s="215"/>
      <c r="N342" s="204"/>
      <c r="O342" s="204"/>
    </row>
    <row r="343" spans="1:15">
      <c r="A343" s="214"/>
      <c r="B343" s="105" t="s">
        <v>976</v>
      </c>
      <c r="C343" s="215"/>
      <c r="D343" s="216"/>
      <c r="E343" s="23"/>
      <c r="F343" s="573" t="s">
        <v>129</v>
      </c>
      <c r="G343" s="545"/>
      <c r="H343" s="213"/>
      <c r="I343" s="215"/>
      <c r="J343" s="204"/>
      <c r="K343" s="204"/>
      <c r="L343" s="204"/>
      <c r="M343" s="215"/>
      <c r="N343" s="204"/>
      <c r="O343" s="204"/>
    </row>
    <row r="344" spans="1:15">
      <c r="A344" s="238"/>
      <c r="B344" s="14"/>
      <c r="C344" s="669" t="s">
        <v>112</v>
      </c>
      <c r="D344" s="369"/>
      <c r="E344" s="126"/>
      <c r="F344" s="643" t="s">
        <v>128</v>
      </c>
      <c r="G344" s="676"/>
      <c r="H344" s="232">
        <f t="shared" ref="H344:H349" si="34">+L344</f>
        <v>1666.929999999993</v>
      </c>
      <c r="I344" s="215"/>
      <c r="J344" s="204">
        <v>1666.929999999993</v>
      </c>
      <c r="K344" s="204"/>
      <c r="L344" s="204">
        <f t="shared" ref="L344:L349" si="35">+J344+O344-N344</f>
        <v>1666.929999999993</v>
      </c>
      <c r="M344" s="215"/>
      <c r="N344" s="204"/>
      <c r="O344" s="204"/>
    </row>
    <row r="345" spans="1:15">
      <c r="A345" s="214"/>
      <c r="B345" s="13"/>
      <c r="C345" s="105" t="s">
        <v>113</v>
      </c>
      <c r="D345" s="216"/>
      <c r="E345" s="23"/>
      <c r="F345" s="360" t="s">
        <v>129</v>
      </c>
      <c r="G345" s="545"/>
      <c r="H345" s="213">
        <f t="shared" si="34"/>
        <v>2300.6400000000003</v>
      </c>
      <c r="I345" s="215"/>
      <c r="J345" s="204">
        <v>2300.6400000000003</v>
      </c>
      <c r="K345" s="204"/>
      <c r="L345" s="204">
        <f t="shared" si="35"/>
        <v>2300.6400000000003</v>
      </c>
      <c r="M345" s="215"/>
      <c r="N345" s="204"/>
      <c r="O345" s="204"/>
    </row>
    <row r="346" spans="1:15">
      <c r="A346" s="214"/>
      <c r="B346" s="13"/>
      <c r="C346" s="105" t="s">
        <v>939</v>
      </c>
      <c r="D346" s="216"/>
      <c r="E346" s="23"/>
      <c r="F346" s="360" t="s">
        <v>132</v>
      </c>
      <c r="G346" s="545"/>
      <c r="H346" s="213">
        <f t="shared" si="34"/>
        <v>87.62</v>
      </c>
      <c r="I346" s="215"/>
      <c r="J346" s="204">
        <v>87.62</v>
      </c>
      <c r="K346" s="204"/>
      <c r="L346" s="204">
        <f t="shared" si="35"/>
        <v>87.62</v>
      </c>
      <c r="M346" s="215"/>
      <c r="N346" s="204"/>
      <c r="O346" s="204"/>
    </row>
    <row r="347" spans="1:15">
      <c r="A347" s="214"/>
      <c r="B347" s="13"/>
      <c r="C347" s="105" t="s">
        <v>290</v>
      </c>
      <c r="D347" s="216"/>
      <c r="E347" s="23"/>
      <c r="F347" s="360" t="s">
        <v>133</v>
      </c>
      <c r="G347" s="545"/>
      <c r="H347" s="213">
        <f t="shared" si="34"/>
        <v>160.88999999999999</v>
      </c>
      <c r="I347" s="215"/>
      <c r="J347" s="204">
        <v>160.88999999999999</v>
      </c>
      <c r="K347" s="204"/>
      <c r="L347" s="204">
        <f t="shared" si="35"/>
        <v>160.88999999999999</v>
      </c>
      <c r="M347" s="215"/>
      <c r="N347" s="204"/>
      <c r="O347" s="204"/>
    </row>
    <row r="348" spans="1:15">
      <c r="A348" s="214"/>
      <c r="B348" s="13"/>
      <c r="C348" s="105" t="s">
        <v>110</v>
      </c>
      <c r="D348" s="216"/>
      <c r="E348" s="23"/>
      <c r="F348" s="360" t="s">
        <v>134</v>
      </c>
      <c r="G348" s="545"/>
      <c r="H348" s="213">
        <f t="shared" si="34"/>
        <v>66.509999999999991</v>
      </c>
      <c r="I348" s="215"/>
      <c r="J348" s="204">
        <v>66.509999999999991</v>
      </c>
      <c r="K348" s="204"/>
      <c r="L348" s="204">
        <f t="shared" si="35"/>
        <v>66.509999999999991</v>
      </c>
      <c r="M348" s="215"/>
      <c r="N348" s="204"/>
      <c r="O348" s="204"/>
    </row>
    <row r="349" spans="1:15">
      <c r="A349" s="214"/>
      <c r="B349" s="13"/>
      <c r="C349" s="105" t="s">
        <v>1102</v>
      </c>
      <c r="D349" s="216"/>
      <c r="E349" s="23"/>
      <c r="F349" s="360" t="s">
        <v>135</v>
      </c>
      <c r="G349" s="545"/>
      <c r="H349" s="213">
        <f t="shared" si="34"/>
        <v>30</v>
      </c>
      <c r="I349" s="215"/>
      <c r="J349" s="204">
        <v>30</v>
      </c>
      <c r="K349" s="204"/>
      <c r="L349" s="204">
        <f t="shared" si="35"/>
        <v>30</v>
      </c>
      <c r="M349" s="215"/>
      <c r="N349" s="204"/>
      <c r="O349" s="204"/>
    </row>
    <row r="350" spans="1:15">
      <c r="A350" s="214"/>
      <c r="B350" s="215"/>
      <c r="C350" s="215"/>
      <c r="D350" s="216"/>
      <c r="E350" s="23"/>
      <c r="F350" s="222"/>
      <c r="G350" s="545"/>
      <c r="H350" s="225">
        <f>SUM(H323:H349)</f>
        <v>235063.83000000002</v>
      </c>
      <c r="I350" s="226">
        <f>+H350-G321</f>
        <v>3.4924596548080444E-10</v>
      </c>
      <c r="J350" s="204"/>
      <c r="K350" s="204"/>
      <c r="L350" s="204"/>
      <c r="M350" s="226"/>
      <c r="N350" s="204"/>
      <c r="O350" s="204"/>
    </row>
    <row r="351" spans="1:15">
      <c r="A351" s="214"/>
      <c r="B351" s="215"/>
      <c r="C351" s="215"/>
      <c r="D351" s="216"/>
      <c r="E351" s="23"/>
      <c r="F351" s="222"/>
      <c r="G351" s="545"/>
      <c r="H351" s="217"/>
      <c r="I351" s="226"/>
      <c r="J351" s="204"/>
      <c r="K351" s="204"/>
      <c r="L351" s="204"/>
      <c r="M351" s="226"/>
      <c r="N351" s="204"/>
      <c r="O351" s="204"/>
    </row>
    <row r="352" spans="1:15">
      <c r="A352" s="214" t="s">
        <v>40</v>
      </c>
      <c r="B352" s="215"/>
      <c r="C352" s="215"/>
      <c r="D352" s="215"/>
      <c r="E352" s="21">
        <v>412</v>
      </c>
      <c r="F352" s="210"/>
      <c r="G352" s="545">
        <f>+TB!E160</f>
        <v>375764.84000000032</v>
      </c>
      <c r="H352" s="672"/>
      <c r="I352" s="215"/>
      <c r="J352" s="224">
        <v>0</v>
      </c>
      <c r="K352" s="224"/>
      <c r="L352" s="204">
        <f t="shared" ref="L352:L367" si="36">+J352+O352-N352</f>
        <v>0</v>
      </c>
      <c r="M352" s="215"/>
      <c r="N352" s="204"/>
      <c r="O352" s="204"/>
    </row>
    <row r="353" spans="1:15">
      <c r="A353" s="214"/>
      <c r="B353" s="218" t="s">
        <v>2</v>
      </c>
      <c r="C353" s="215"/>
      <c r="D353" s="216"/>
      <c r="E353" s="21"/>
      <c r="F353" s="348" t="s">
        <v>128</v>
      </c>
      <c r="G353" s="545"/>
      <c r="H353" s="213">
        <f t="shared" ref="H353:H358" si="37">+L353</f>
        <v>204876.77999999994</v>
      </c>
      <c r="I353" s="215"/>
      <c r="J353" s="224">
        <v>6214.1699999999546</v>
      </c>
      <c r="K353" s="224"/>
      <c r="L353" s="204">
        <f t="shared" si="36"/>
        <v>204876.77999999994</v>
      </c>
      <c r="M353" s="215"/>
      <c r="N353" s="204">
        <v>6214.17</v>
      </c>
      <c r="O353" s="204">
        <v>204876.78</v>
      </c>
    </row>
    <row r="354" spans="1:15">
      <c r="A354" s="214"/>
      <c r="B354" s="229" t="s">
        <v>338</v>
      </c>
      <c r="C354" s="215"/>
      <c r="D354" s="216"/>
      <c r="E354" s="21"/>
      <c r="F354" s="348" t="s">
        <v>129</v>
      </c>
      <c r="G354" s="545"/>
      <c r="H354" s="213">
        <f t="shared" si="37"/>
        <v>820.79000000000087</v>
      </c>
      <c r="I354" s="215"/>
      <c r="J354" s="224">
        <v>16491.04</v>
      </c>
      <c r="K354" s="224"/>
      <c r="L354" s="204">
        <f>+J354+O354-N354</f>
        <v>820.79000000000087</v>
      </c>
      <c r="M354" s="215"/>
      <c r="N354" s="204">
        <v>16491.04</v>
      </c>
      <c r="O354" s="204">
        <v>820.79</v>
      </c>
    </row>
    <row r="355" spans="1:15">
      <c r="A355" s="214"/>
      <c r="B355" s="218" t="s">
        <v>289</v>
      </c>
      <c r="C355" s="215"/>
      <c r="D355" s="216"/>
      <c r="E355" s="21"/>
      <c r="F355" s="348" t="s">
        <v>132</v>
      </c>
      <c r="G355" s="545"/>
      <c r="H355" s="213">
        <f t="shared" si="37"/>
        <v>47418.069999999978</v>
      </c>
      <c r="I355" s="215"/>
      <c r="J355" s="224">
        <v>7965.9199999999837</v>
      </c>
      <c r="K355" s="224"/>
      <c r="L355" s="204">
        <f>+J355+O355-N355</f>
        <v>47418.069999999978</v>
      </c>
      <c r="M355" s="215"/>
      <c r="N355" s="204">
        <v>7965.92</v>
      </c>
      <c r="O355" s="204">
        <v>47418.069999999992</v>
      </c>
    </row>
    <row r="356" spans="1:15" hidden="1">
      <c r="A356" s="238"/>
      <c r="B356" s="658" t="s">
        <v>339</v>
      </c>
      <c r="C356" s="231"/>
      <c r="D356" s="369"/>
      <c r="E356" s="598"/>
      <c r="F356" s="659" t="s">
        <v>133</v>
      </c>
      <c r="G356" s="676"/>
      <c r="H356" s="232">
        <f t="shared" si="37"/>
        <v>0</v>
      </c>
      <c r="I356" s="215"/>
      <c r="J356" s="224">
        <v>0</v>
      </c>
      <c r="K356" s="224"/>
      <c r="L356" s="204">
        <f t="shared" si="36"/>
        <v>0</v>
      </c>
      <c r="M356" s="215"/>
      <c r="N356" s="204"/>
      <c r="O356" s="204"/>
    </row>
    <row r="357" spans="1:15">
      <c r="A357" s="214"/>
      <c r="B357" s="218" t="s">
        <v>285</v>
      </c>
      <c r="C357" s="215"/>
      <c r="D357" s="216"/>
      <c r="E357" s="21"/>
      <c r="F357" s="348" t="s">
        <v>134</v>
      </c>
      <c r="G357" s="545"/>
      <c r="H357" s="213">
        <f t="shared" si="37"/>
        <v>122649.19999999995</v>
      </c>
      <c r="I357" s="215"/>
      <c r="J357" s="223">
        <v>102989.54999999996</v>
      </c>
      <c r="K357" s="224"/>
      <c r="L357" s="204">
        <f t="shared" si="36"/>
        <v>122649.19999999995</v>
      </c>
      <c r="M357" s="215"/>
      <c r="N357" s="204">
        <v>102989.54999999999</v>
      </c>
      <c r="O357" s="204">
        <v>122649.2</v>
      </c>
    </row>
    <row r="358" spans="1:15" hidden="1">
      <c r="A358" s="214"/>
      <c r="B358" s="611" t="s">
        <v>1052</v>
      </c>
      <c r="C358" s="215"/>
      <c r="D358" s="216"/>
      <c r="E358" s="21"/>
      <c r="F358" s="348" t="s">
        <v>135</v>
      </c>
      <c r="G358" s="545"/>
      <c r="H358" s="213">
        <f t="shared" si="37"/>
        <v>0</v>
      </c>
      <c r="I358" s="215"/>
      <c r="J358" s="223">
        <v>0</v>
      </c>
      <c r="K358" s="224"/>
      <c r="L358" s="204">
        <f t="shared" si="36"/>
        <v>0</v>
      </c>
      <c r="M358" s="215"/>
      <c r="N358" s="204"/>
      <c r="O358" s="204"/>
    </row>
    <row r="359" spans="1:15">
      <c r="A359" s="214"/>
      <c r="B359" s="215"/>
      <c r="C359" s="215"/>
      <c r="D359" s="216"/>
      <c r="E359" s="21"/>
      <c r="F359" s="219"/>
      <c r="G359" s="545"/>
      <c r="H359" s="225">
        <f>SUM(H353:H358)</f>
        <v>375764.83999999985</v>
      </c>
      <c r="I359" s="204">
        <f>+H359-G352</f>
        <v>-4.6566128730773926E-10</v>
      </c>
      <c r="J359" s="230">
        <v>0</v>
      </c>
      <c r="K359" s="230"/>
      <c r="L359" s="204">
        <f t="shared" si="36"/>
        <v>0</v>
      </c>
      <c r="M359" s="215"/>
      <c r="N359" s="204"/>
      <c r="O359" s="204"/>
    </row>
    <row r="360" spans="1:15">
      <c r="A360" s="214"/>
      <c r="B360" s="215"/>
      <c r="C360" s="215"/>
      <c r="D360" s="216"/>
      <c r="E360" s="21"/>
      <c r="F360" s="219"/>
      <c r="G360" s="545"/>
      <c r="H360" s="217"/>
      <c r="I360" s="215"/>
      <c r="J360" s="230">
        <v>0</v>
      </c>
      <c r="K360" s="230"/>
      <c r="L360" s="204">
        <f t="shared" si="36"/>
        <v>0</v>
      </c>
      <c r="M360" s="215"/>
      <c r="N360" s="204"/>
      <c r="O360" s="204"/>
    </row>
    <row r="361" spans="1:15">
      <c r="A361" s="214" t="s">
        <v>41</v>
      </c>
      <c r="B361" s="215"/>
      <c r="C361" s="215"/>
      <c r="D361" s="216"/>
      <c r="E361" s="21">
        <v>413</v>
      </c>
      <c r="F361" s="22"/>
      <c r="G361" s="224">
        <f>+TB!E161</f>
        <v>1752197.2700000014</v>
      </c>
      <c r="H361" s="228"/>
      <c r="I361" s="226"/>
      <c r="J361" s="224">
        <v>0</v>
      </c>
      <c r="K361" s="224"/>
      <c r="L361" s="204">
        <f t="shared" si="36"/>
        <v>0</v>
      </c>
      <c r="M361" s="215"/>
      <c r="N361" s="204"/>
      <c r="O361" s="204"/>
    </row>
    <row r="362" spans="1:15">
      <c r="A362" s="214"/>
      <c r="B362" s="215" t="s">
        <v>153</v>
      </c>
      <c r="C362" s="215"/>
      <c r="D362" s="216"/>
      <c r="E362" s="23"/>
      <c r="F362" s="22" t="s">
        <v>128</v>
      </c>
      <c r="G362" s="545"/>
      <c r="H362" s="213">
        <f t="shared" ref="H362:H367" si="38">+L362</f>
        <v>1586818.6500000011</v>
      </c>
      <c r="I362" s="226"/>
      <c r="J362" s="224">
        <v>1080010.7400000012</v>
      </c>
      <c r="K362" s="224"/>
      <c r="L362" s="204">
        <f t="shared" si="36"/>
        <v>1586818.6500000011</v>
      </c>
      <c r="M362" s="215"/>
      <c r="N362" s="204">
        <v>33191.35</v>
      </c>
      <c r="O362" s="204">
        <v>539999.26</v>
      </c>
    </row>
    <row r="363" spans="1:15">
      <c r="A363" s="214"/>
      <c r="B363" s="215" t="s">
        <v>154</v>
      </c>
      <c r="C363" s="215"/>
      <c r="D363" s="216"/>
      <c r="E363" s="23"/>
      <c r="F363" s="22" t="s">
        <v>129</v>
      </c>
      <c r="G363" s="545"/>
      <c r="H363" s="213">
        <f t="shared" si="38"/>
        <v>24887.950000000004</v>
      </c>
      <c r="I363" s="226"/>
      <c r="J363" s="224">
        <v>13410.170000000002</v>
      </c>
      <c r="K363" s="224"/>
      <c r="L363" s="204">
        <f t="shared" si="36"/>
        <v>24887.950000000004</v>
      </c>
      <c r="M363" s="215"/>
      <c r="N363" s="204">
        <v>13410.17</v>
      </c>
      <c r="O363" s="204">
        <v>24887.95</v>
      </c>
    </row>
    <row r="364" spans="1:15">
      <c r="A364" s="214"/>
      <c r="B364" s="215" t="s">
        <v>155</v>
      </c>
      <c r="C364" s="215"/>
      <c r="D364" s="216"/>
      <c r="E364" s="23"/>
      <c r="F364" s="22" t="s">
        <v>132</v>
      </c>
      <c r="G364" s="545"/>
      <c r="H364" s="213">
        <f t="shared" si="38"/>
        <v>800</v>
      </c>
      <c r="I364" s="226"/>
      <c r="J364" s="224">
        <v>200</v>
      </c>
      <c r="K364" s="224"/>
      <c r="L364" s="204">
        <f t="shared" si="36"/>
        <v>800</v>
      </c>
      <c r="M364" s="215"/>
      <c r="N364" s="204">
        <v>200</v>
      </c>
      <c r="O364" s="204">
        <v>800</v>
      </c>
    </row>
    <row r="365" spans="1:15">
      <c r="A365" s="214"/>
      <c r="B365" s="218" t="s">
        <v>3</v>
      </c>
      <c r="C365" s="215"/>
      <c r="D365" s="216"/>
      <c r="E365" s="23"/>
      <c r="F365" s="22" t="s">
        <v>133</v>
      </c>
      <c r="G365" s="545"/>
      <c r="H365" s="213">
        <f t="shared" si="38"/>
        <v>132155.82999999996</v>
      </c>
      <c r="I365" s="226"/>
      <c r="J365" s="224">
        <v>118055.82999999997</v>
      </c>
      <c r="K365" s="224"/>
      <c r="L365" s="204">
        <f t="shared" si="36"/>
        <v>132155.82999999996</v>
      </c>
      <c r="M365" s="215"/>
      <c r="N365" s="204">
        <v>1541.17</v>
      </c>
      <c r="O365" s="204">
        <v>15641.17</v>
      </c>
    </row>
    <row r="366" spans="1:15">
      <c r="A366" s="214"/>
      <c r="B366" s="218" t="s">
        <v>268</v>
      </c>
      <c r="C366" s="215"/>
      <c r="D366" s="216"/>
      <c r="E366" s="23"/>
      <c r="F366" s="22" t="s">
        <v>134</v>
      </c>
      <c r="G366" s="545"/>
      <c r="H366" s="213">
        <f>+L366</f>
        <v>4402.840000000002</v>
      </c>
      <c r="I366" s="226"/>
      <c r="J366" s="230">
        <v>2709.4400000000014</v>
      </c>
      <c r="K366" s="230"/>
      <c r="L366" s="204">
        <f t="shared" si="36"/>
        <v>4402.840000000002</v>
      </c>
      <c r="M366" s="215"/>
      <c r="N366" s="204">
        <v>2709.44</v>
      </c>
      <c r="O366" s="204">
        <v>4402.84</v>
      </c>
    </row>
    <row r="367" spans="1:15">
      <c r="A367" s="214"/>
      <c r="B367" s="218" t="s">
        <v>4</v>
      </c>
      <c r="C367" s="215"/>
      <c r="D367" s="216"/>
      <c r="E367" s="23"/>
      <c r="F367" s="22" t="s">
        <v>135</v>
      </c>
      <c r="G367" s="545"/>
      <c r="H367" s="213">
        <f t="shared" si="38"/>
        <v>3132</v>
      </c>
      <c r="I367" s="226"/>
      <c r="J367" s="204">
        <v>3132</v>
      </c>
      <c r="K367" s="204"/>
      <c r="L367" s="204">
        <f t="shared" si="36"/>
        <v>3132</v>
      </c>
      <c r="M367" s="215"/>
      <c r="N367" s="204"/>
      <c r="O367" s="204"/>
    </row>
    <row r="368" spans="1:15">
      <c r="A368" s="214"/>
      <c r="B368" s="215"/>
      <c r="C368" s="215"/>
      <c r="D368" s="216"/>
      <c r="E368" s="23"/>
      <c r="F368" s="219"/>
      <c r="G368" s="545"/>
      <c r="H368" s="225">
        <f>SUM(H362:H367)</f>
        <v>1752197.2700000012</v>
      </c>
      <c r="I368" s="226">
        <f>+G361-H368</f>
        <v>0</v>
      </c>
      <c r="J368" s="230"/>
      <c r="K368" s="230"/>
      <c r="L368" s="204"/>
      <c r="M368" s="215"/>
      <c r="N368" s="204"/>
      <c r="O368" s="204"/>
    </row>
    <row r="369" spans="1:16">
      <c r="A369" s="214"/>
      <c r="B369" s="215"/>
      <c r="C369" s="215"/>
      <c r="D369" s="216"/>
      <c r="E369" s="23"/>
      <c r="F369" s="219"/>
      <c r="G369" s="545"/>
      <c r="H369" s="217"/>
      <c r="I369" s="226"/>
      <c r="J369" s="230"/>
      <c r="K369" s="230"/>
      <c r="L369" s="204"/>
      <c r="M369" s="215"/>
      <c r="N369" s="204"/>
      <c r="O369" s="204"/>
    </row>
    <row r="370" spans="1:16">
      <c r="A370" s="214" t="s">
        <v>116</v>
      </c>
      <c r="B370" s="215"/>
      <c r="C370" s="215"/>
      <c r="D370" s="216"/>
      <c r="E370" s="21">
        <v>414</v>
      </c>
      <c r="F370" s="210"/>
      <c r="G370" s="545">
        <f>+TB!E162</f>
        <v>60088.530000000028</v>
      </c>
      <c r="H370" s="228"/>
      <c r="I370" s="215"/>
      <c r="J370" s="224">
        <v>0</v>
      </c>
      <c r="K370" s="224"/>
      <c r="L370" s="204">
        <f t="shared" ref="L370:L382" si="39">+J370+O370-N370</f>
        <v>0</v>
      </c>
      <c r="M370" s="215"/>
      <c r="N370" s="204"/>
      <c r="O370" s="204"/>
    </row>
    <row r="371" spans="1:16">
      <c r="A371" s="214"/>
      <c r="B371" s="215" t="s">
        <v>156</v>
      </c>
      <c r="C371" s="215"/>
      <c r="D371" s="216"/>
      <c r="E371" s="21"/>
      <c r="F371" s="219" t="s">
        <v>128</v>
      </c>
      <c r="G371" s="545"/>
      <c r="H371" s="213">
        <f>+L371</f>
        <v>39100</v>
      </c>
      <c r="I371" s="226"/>
      <c r="J371" s="204">
        <v>11900</v>
      </c>
      <c r="K371" s="204"/>
      <c r="L371" s="204">
        <f t="shared" si="39"/>
        <v>39100</v>
      </c>
      <c r="M371" s="215"/>
      <c r="N371" s="204">
        <v>11900</v>
      </c>
      <c r="O371" s="204">
        <v>39100</v>
      </c>
    </row>
    <row r="372" spans="1:16">
      <c r="A372" s="214"/>
      <c r="B372" s="215" t="s">
        <v>157</v>
      </c>
      <c r="C372" s="215"/>
      <c r="D372" s="216"/>
      <c r="E372" s="21"/>
      <c r="F372" s="219" t="s">
        <v>129</v>
      </c>
      <c r="G372" s="545"/>
      <c r="H372" s="213">
        <f>+L372</f>
        <v>20988.53</v>
      </c>
      <c r="I372" s="215"/>
      <c r="J372" s="204">
        <v>8547.48</v>
      </c>
      <c r="K372" s="204"/>
      <c r="L372" s="204">
        <f t="shared" si="39"/>
        <v>20988.53</v>
      </c>
      <c r="M372" s="215"/>
      <c r="N372" s="204">
        <v>8547.48</v>
      </c>
      <c r="O372" s="368">
        <v>20988.53</v>
      </c>
    </row>
    <row r="373" spans="1:16">
      <c r="A373" s="214"/>
      <c r="B373" s="215"/>
      <c r="C373" s="215"/>
      <c r="D373" s="216"/>
      <c r="E373" s="21"/>
      <c r="F373" s="219"/>
      <c r="G373" s="545"/>
      <c r="H373" s="225">
        <f>SUM(H371:H372)</f>
        <v>60088.53</v>
      </c>
      <c r="I373" s="519">
        <f>+H373-G370</f>
        <v>0</v>
      </c>
      <c r="J373" s="230">
        <v>0</v>
      </c>
      <c r="K373" s="230"/>
      <c r="L373" s="204">
        <f t="shared" si="39"/>
        <v>0</v>
      </c>
      <c r="M373" s="215"/>
      <c r="N373" s="204"/>
      <c r="O373" s="204"/>
    </row>
    <row r="374" spans="1:16">
      <c r="A374" s="214"/>
      <c r="B374" s="215"/>
      <c r="C374" s="215"/>
      <c r="D374" s="216"/>
      <c r="E374" s="21"/>
      <c r="F374" s="219"/>
      <c r="G374" s="545"/>
      <c r="H374" s="217"/>
      <c r="I374" s="215"/>
      <c r="J374" s="230">
        <v>0</v>
      </c>
      <c r="K374" s="230"/>
      <c r="L374" s="204">
        <f t="shared" si="39"/>
        <v>0</v>
      </c>
      <c r="M374" s="215"/>
      <c r="N374" s="204"/>
      <c r="O374" s="204"/>
    </row>
    <row r="375" spans="1:16">
      <c r="A375" s="214" t="s">
        <v>158</v>
      </c>
      <c r="B375" s="215"/>
      <c r="C375" s="215"/>
      <c r="D375" s="216"/>
      <c r="E375" s="21">
        <v>415</v>
      </c>
      <c r="F375" s="210"/>
      <c r="G375" s="545">
        <f>+TB!E163</f>
        <v>886513.75</v>
      </c>
      <c r="H375" s="228"/>
      <c r="I375" s="226"/>
      <c r="J375" s="204">
        <v>0</v>
      </c>
      <c r="K375" s="204"/>
      <c r="L375" s="204">
        <f t="shared" si="39"/>
        <v>0</v>
      </c>
      <c r="M375" s="215"/>
      <c r="N375" s="204"/>
      <c r="O375" s="204"/>
    </row>
    <row r="376" spans="1:16">
      <c r="A376" s="214"/>
      <c r="B376" s="215" t="s">
        <v>83</v>
      </c>
      <c r="C376" s="215"/>
      <c r="D376" s="216"/>
      <c r="E376" s="21"/>
      <c r="F376" s="219"/>
      <c r="G376" s="545"/>
      <c r="H376" s="220">
        <f>+L376</f>
        <v>886513.75</v>
      </c>
      <c r="I376" s="226">
        <f>+G375-H376</f>
        <v>0</v>
      </c>
      <c r="J376" s="204">
        <v>826588.75</v>
      </c>
      <c r="K376" s="204"/>
      <c r="L376" s="204">
        <f t="shared" si="39"/>
        <v>886513.75</v>
      </c>
      <c r="M376" s="215"/>
      <c r="N376" s="204">
        <v>3800</v>
      </c>
      <c r="O376" s="204">
        <v>63725</v>
      </c>
    </row>
    <row r="377" spans="1:16">
      <c r="A377" s="214"/>
      <c r="B377" s="215"/>
      <c r="C377" s="215"/>
      <c r="D377" s="216"/>
      <c r="E377" s="21"/>
      <c r="F377" s="219"/>
      <c r="G377" s="545"/>
      <c r="H377" s="217"/>
      <c r="I377" s="226"/>
      <c r="J377" s="204">
        <v>0</v>
      </c>
      <c r="K377" s="204"/>
      <c r="L377" s="204">
        <f t="shared" si="39"/>
        <v>0</v>
      </c>
      <c r="M377" s="215"/>
      <c r="N377" s="204"/>
      <c r="O377" s="204"/>
    </row>
    <row r="378" spans="1:16">
      <c r="A378" s="214"/>
      <c r="B378" s="215"/>
      <c r="C378" s="215"/>
      <c r="D378" s="216"/>
      <c r="E378" s="21"/>
      <c r="F378" s="219"/>
      <c r="G378" s="224"/>
      <c r="H378" s="217"/>
      <c r="I378" s="226"/>
      <c r="J378" s="204"/>
      <c r="K378" s="204"/>
      <c r="L378" s="204"/>
      <c r="M378" s="215"/>
      <c r="N378" s="204"/>
      <c r="O378" s="204"/>
    </row>
    <row r="379" spans="1:16">
      <c r="A379" s="214" t="s">
        <v>44</v>
      </c>
      <c r="B379" s="215"/>
      <c r="C379" s="215"/>
      <c r="D379" s="216"/>
      <c r="E379" s="21">
        <v>424</v>
      </c>
      <c r="F379" s="25"/>
      <c r="G379" s="224">
        <f>+TB!E167</f>
        <v>19597.330000000016</v>
      </c>
      <c r="H379" s="233"/>
      <c r="I379" s="226"/>
      <c r="J379" s="224">
        <v>0</v>
      </c>
      <c r="K379" s="224"/>
      <c r="L379" s="204">
        <f t="shared" si="39"/>
        <v>0</v>
      </c>
      <c r="M379" s="215"/>
      <c r="N379" s="204"/>
      <c r="O379" s="204"/>
    </row>
    <row r="380" spans="1:16">
      <c r="A380" s="214"/>
      <c r="B380" s="215" t="s">
        <v>6</v>
      </c>
      <c r="C380" s="215"/>
      <c r="D380" s="216"/>
      <c r="E380" s="21"/>
      <c r="F380" s="25" t="s">
        <v>128</v>
      </c>
      <c r="G380" s="224"/>
      <c r="H380" s="213">
        <f>+L380</f>
        <v>19597.329999999991</v>
      </c>
      <c r="I380" s="226"/>
      <c r="J380" s="224">
        <v>1128.0599999999904</v>
      </c>
      <c r="K380" s="224"/>
      <c r="L380" s="204">
        <f t="shared" si="39"/>
        <v>19597.329999999991</v>
      </c>
      <c r="M380" s="215"/>
      <c r="N380" s="204">
        <v>0</v>
      </c>
      <c r="O380" s="204">
        <v>18469.27</v>
      </c>
      <c r="P380" s="16"/>
    </row>
    <row r="381" spans="1:16" hidden="1">
      <c r="A381" s="214"/>
      <c r="B381" s="215" t="s">
        <v>278</v>
      </c>
      <c r="C381" s="215"/>
      <c r="D381" s="216"/>
      <c r="E381" s="21"/>
      <c r="F381" s="25" t="s">
        <v>129</v>
      </c>
      <c r="G381" s="224"/>
      <c r="H381" s="213">
        <f>+L381</f>
        <v>0</v>
      </c>
      <c r="I381" s="226"/>
      <c r="J381" s="224">
        <v>0</v>
      </c>
      <c r="K381" s="224"/>
      <c r="L381" s="204">
        <f t="shared" si="39"/>
        <v>0</v>
      </c>
      <c r="M381" s="215"/>
      <c r="N381" s="204"/>
      <c r="O381" s="16"/>
      <c r="P381" s="16"/>
    </row>
    <row r="382" spans="1:16">
      <c r="A382" s="214"/>
      <c r="B382" s="215"/>
      <c r="C382" s="215"/>
      <c r="D382" s="216"/>
      <c r="E382" s="21"/>
      <c r="F382" s="25"/>
      <c r="G382" s="224"/>
      <c r="H382" s="225">
        <f>SUM(H380:H381)</f>
        <v>19597.329999999991</v>
      </c>
      <c r="I382" s="226">
        <f>+G379-H382</f>
        <v>0</v>
      </c>
      <c r="J382" s="224">
        <v>0</v>
      </c>
      <c r="K382" s="224"/>
      <c r="L382" s="204">
        <f t="shared" si="39"/>
        <v>0</v>
      </c>
      <c r="M382" s="215"/>
      <c r="N382" s="204"/>
      <c r="O382" s="204"/>
    </row>
    <row r="383" spans="1:16">
      <c r="A383" s="214"/>
      <c r="B383" s="215"/>
      <c r="C383" s="215"/>
      <c r="D383" s="216"/>
      <c r="E383" s="21"/>
      <c r="F383" s="25"/>
      <c r="G383" s="224"/>
      <c r="H383" s="217"/>
      <c r="I383" s="226"/>
      <c r="J383" s="224"/>
      <c r="K383" s="224"/>
      <c r="L383" s="204"/>
      <c r="M383" s="215"/>
      <c r="N383" s="204"/>
      <c r="O383" s="204"/>
    </row>
    <row r="384" spans="1:16">
      <c r="A384" s="214"/>
      <c r="B384" s="215"/>
      <c r="C384" s="215"/>
      <c r="D384" s="216"/>
      <c r="E384" s="21"/>
      <c r="F384" s="25"/>
      <c r="G384" s="545"/>
      <c r="H384" s="545"/>
      <c r="I384" s="226"/>
      <c r="J384" s="224"/>
      <c r="K384" s="224"/>
      <c r="L384" s="204"/>
      <c r="M384" s="215"/>
      <c r="N384" s="204"/>
      <c r="O384" s="204"/>
    </row>
    <row r="385" spans="1:15">
      <c r="A385" s="214" t="s">
        <v>45</v>
      </c>
      <c r="B385" s="215"/>
      <c r="C385" s="215"/>
      <c r="D385" s="216"/>
      <c r="E385" s="21">
        <v>426</v>
      </c>
      <c r="F385" s="25"/>
      <c r="G385" s="224">
        <f>+TB!E168</f>
        <v>225805.13000000006</v>
      </c>
      <c r="H385" s="217"/>
      <c r="I385" s="226"/>
      <c r="J385" s="224"/>
      <c r="K385" s="224"/>
      <c r="L385" s="204"/>
      <c r="M385" s="215"/>
      <c r="N385" s="204"/>
      <c r="O385" s="204"/>
    </row>
    <row r="386" spans="1:15">
      <c r="A386" s="214"/>
      <c r="B386" s="218" t="s">
        <v>364</v>
      </c>
      <c r="C386" s="215"/>
      <c r="D386" s="216"/>
      <c r="E386" s="21"/>
      <c r="F386" s="360" t="s">
        <v>128</v>
      </c>
      <c r="G386" s="224"/>
      <c r="H386" s="213">
        <f t="shared" ref="H386:H403" si="40">+L386</f>
        <v>7770</v>
      </c>
      <c r="I386" s="226"/>
      <c r="J386" s="204">
        <v>7770</v>
      </c>
      <c r="K386" s="224"/>
      <c r="L386" s="204">
        <f t="shared" ref="L386:L403" si="41">+J386+O386-N386</f>
        <v>7770</v>
      </c>
      <c r="M386" s="215"/>
      <c r="N386" s="204"/>
      <c r="O386" s="204"/>
    </row>
    <row r="387" spans="1:15">
      <c r="A387" s="214"/>
      <c r="B387" s="218" t="s">
        <v>354</v>
      </c>
      <c r="C387" s="215"/>
      <c r="D387" s="216"/>
      <c r="E387" s="21"/>
      <c r="F387" s="360" t="s">
        <v>129</v>
      </c>
      <c r="G387" s="224"/>
      <c r="H387" s="213">
        <f t="shared" si="40"/>
        <v>115791.87</v>
      </c>
      <c r="I387" s="226"/>
      <c r="J387" s="204">
        <v>115791.87</v>
      </c>
      <c r="K387" s="224"/>
      <c r="L387" s="204">
        <f t="shared" si="41"/>
        <v>115791.87</v>
      </c>
      <c r="M387" s="215"/>
      <c r="N387" s="204"/>
      <c r="O387" s="204"/>
    </row>
    <row r="388" spans="1:15">
      <c r="A388" s="214"/>
      <c r="B388" s="218" t="s">
        <v>422</v>
      </c>
      <c r="C388" s="215"/>
      <c r="D388" s="216"/>
      <c r="E388" s="21"/>
      <c r="F388" s="360" t="s">
        <v>132</v>
      </c>
      <c r="G388" s="224"/>
      <c r="H388" s="213">
        <f t="shared" si="40"/>
        <v>1092</v>
      </c>
      <c r="I388" s="226"/>
      <c r="J388" s="204">
        <v>1092</v>
      </c>
      <c r="K388" s="224"/>
      <c r="L388" s="204">
        <f t="shared" si="41"/>
        <v>1092</v>
      </c>
      <c r="M388" s="215"/>
      <c r="N388" s="204"/>
      <c r="O388" s="204"/>
    </row>
    <row r="389" spans="1:15" hidden="1">
      <c r="A389" s="214"/>
      <c r="B389" s="105" t="s">
        <v>1060</v>
      </c>
      <c r="C389" s="215"/>
      <c r="D389" s="216"/>
      <c r="E389" s="21"/>
      <c r="F389" s="360" t="s">
        <v>133</v>
      </c>
      <c r="G389" s="224"/>
      <c r="H389" s="213">
        <f t="shared" si="40"/>
        <v>0</v>
      </c>
      <c r="I389" s="226"/>
      <c r="J389" s="204">
        <v>0</v>
      </c>
      <c r="K389" s="224"/>
      <c r="L389" s="204">
        <f t="shared" si="41"/>
        <v>0</v>
      </c>
      <c r="M389" s="215"/>
      <c r="N389" s="204"/>
      <c r="O389" s="204"/>
    </row>
    <row r="390" spans="1:15">
      <c r="A390" s="214"/>
      <c r="B390" s="57" t="s">
        <v>506</v>
      </c>
      <c r="C390" s="215"/>
      <c r="D390" s="216"/>
      <c r="E390" s="21"/>
      <c r="F390" s="360" t="s">
        <v>134</v>
      </c>
      <c r="G390" s="224"/>
      <c r="H390" s="213">
        <f t="shared" si="40"/>
        <v>6637.2</v>
      </c>
      <c r="I390" s="226"/>
      <c r="J390" s="204">
        <v>6637.2</v>
      </c>
      <c r="K390" s="224"/>
      <c r="L390" s="204">
        <f t="shared" si="41"/>
        <v>6637.2</v>
      </c>
      <c r="M390" s="215"/>
      <c r="N390" s="204"/>
      <c r="O390" s="204"/>
    </row>
    <row r="391" spans="1:15">
      <c r="A391" s="214"/>
      <c r="B391" s="218" t="s">
        <v>340</v>
      </c>
      <c r="C391" s="215"/>
      <c r="D391" s="216"/>
      <c r="E391" s="21"/>
      <c r="F391" s="360" t="s">
        <v>135</v>
      </c>
      <c r="G391" s="224"/>
      <c r="H391" s="213">
        <f t="shared" si="40"/>
        <v>2280</v>
      </c>
      <c r="I391" s="226"/>
      <c r="J391" s="204">
        <v>2280</v>
      </c>
      <c r="K391" s="224"/>
      <c r="L391" s="204">
        <f t="shared" si="41"/>
        <v>2280</v>
      </c>
      <c r="M391" s="215"/>
      <c r="N391" s="204"/>
      <c r="O391" s="204"/>
    </row>
    <row r="392" spans="1:15" hidden="1">
      <c r="A392" s="214"/>
      <c r="B392" s="105" t="s">
        <v>1059</v>
      </c>
      <c r="C392" s="215"/>
      <c r="D392" s="216"/>
      <c r="E392" s="21"/>
      <c r="F392" s="360" t="s">
        <v>130</v>
      </c>
      <c r="G392" s="224"/>
      <c r="H392" s="213">
        <f t="shared" si="40"/>
        <v>0</v>
      </c>
      <c r="I392" s="226"/>
      <c r="J392" s="204">
        <v>0</v>
      </c>
      <c r="K392" s="224"/>
      <c r="L392" s="204">
        <f t="shared" si="41"/>
        <v>0</v>
      </c>
      <c r="M392" s="215"/>
      <c r="N392" s="204"/>
      <c r="O392" s="204"/>
    </row>
    <row r="393" spans="1:15">
      <c r="A393" s="214"/>
      <c r="B393" s="57" t="s">
        <v>948</v>
      </c>
      <c r="C393" s="215"/>
      <c r="D393" s="216"/>
      <c r="E393" s="21"/>
      <c r="F393" s="360" t="s">
        <v>136</v>
      </c>
      <c r="G393" s="224"/>
      <c r="H393" s="213">
        <f t="shared" si="40"/>
        <v>2415.1999999999998</v>
      </c>
      <c r="I393" s="226"/>
      <c r="J393" s="204">
        <v>2415.1999999999998</v>
      </c>
      <c r="K393" s="224"/>
      <c r="L393" s="204">
        <f t="shared" si="41"/>
        <v>2415.1999999999998</v>
      </c>
      <c r="M393" s="215"/>
      <c r="N393" s="204"/>
      <c r="O393" s="204"/>
    </row>
    <row r="394" spans="1:15">
      <c r="A394" s="214"/>
      <c r="B394" s="105" t="s">
        <v>1055</v>
      </c>
      <c r="C394" s="215"/>
      <c r="D394" s="216"/>
      <c r="E394" s="21"/>
      <c r="F394" s="360" t="s">
        <v>137</v>
      </c>
      <c r="G394" s="224"/>
      <c r="H394" s="213">
        <f t="shared" si="40"/>
        <v>5980</v>
      </c>
      <c r="I394" s="226"/>
      <c r="J394" s="204">
        <v>5980</v>
      </c>
      <c r="K394" s="224"/>
      <c r="L394" s="204">
        <f t="shared" si="41"/>
        <v>5980</v>
      </c>
      <c r="M394" s="215"/>
      <c r="N394" s="204"/>
      <c r="O394" s="204"/>
    </row>
    <row r="395" spans="1:15">
      <c r="A395" s="214"/>
      <c r="B395" s="218" t="s">
        <v>282</v>
      </c>
      <c r="C395" s="215"/>
      <c r="D395" s="216"/>
      <c r="E395" s="21"/>
      <c r="F395" s="360" t="s">
        <v>138</v>
      </c>
      <c r="G395" s="224"/>
      <c r="H395" s="213">
        <f t="shared" si="40"/>
        <v>2406</v>
      </c>
      <c r="I395" s="226"/>
      <c r="J395" s="204">
        <v>2406</v>
      </c>
      <c r="K395" s="224"/>
      <c r="L395" s="204">
        <f t="shared" si="41"/>
        <v>2406</v>
      </c>
      <c r="M395" s="215"/>
      <c r="N395" s="204"/>
      <c r="O395" s="204"/>
    </row>
    <row r="396" spans="1:15" ht="13.5" customHeight="1">
      <c r="A396" s="214"/>
      <c r="B396" s="218" t="s">
        <v>423</v>
      </c>
      <c r="C396" s="215"/>
      <c r="D396" s="216"/>
      <c r="E396" s="21"/>
      <c r="F396" s="360" t="s">
        <v>139</v>
      </c>
      <c r="G396" s="224"/>
      <c r="H396" s="213">
        <f t="shared" si="40"/>
        <v>827.62000000000262</v>
      </c>
      <c r="I396" s="226"/>
      <c r="J396" s="204">
        <v>827.62000000000262</v>
      </c>
      <c r="K396" s="224"/>
      <c r="L396" s="204">
        <f t="shared" si="41"/>
        <v>827.62000000000262</v>
      </c>
      <c r="M396" s="215"/>
      <c r="N396" s="204"/>
      <c r="O396" s="204"/>
    </row>
    <row r="397" spans="1:15" ht="13.5" hidden="1" customHeight="1">
      <c r="A397" s="214"/>
      <c r="B397" s="218" t="s">
        <v>1104</v>
      </c>
      <c r="C397" s="215"/>
      <c r="D397" s="216"/>
      <c r="E397" s="21"/>
      <c r="F397" s="360" t="s">
        <v>140</v>
      </c>
      <c r="G397" s="224"/>
      <c r="H397" s="213">
        <f t="shared" si="40"/>
        <v>0</v>
      </c>
      <c r="I397" s="226"/>
      <c r="J397" s="204">
        <v>0</v>
      </c>
      <c r="K397" s="224"/>
      <c r="L397" s="204">
        <f t="shared" si="41"/>
        <v>0</v>
      </c>
      <c r="M397" s="215"/>
      <c r="N397" s="204"/>
      <c r="O397" s="204"/>
    </row>
    <row r="398" spans="1:15" ht="13.5" hidden="1" customHeight="1">
      <c r="A398" s="214"/>
      <c r="B398" s="218" t="s">
        <v>1115</v>
      </c>
      <c r="C398" s="215"/>
      <c r="D398" s="216"/>
      <c r="E398" s="21"/>
      <c r="F398" s="360" t="s">
        <v>141</v>
      </c>
      <c r="G398" s="224"/>
      <c r="H398" s="213">
        <f t="shared" si="40"/>
        <v>0</v>
      </c>
      <c r="I398" s="226"/>
      <c r="J398" s="204">
        <v>0</v>
      </c>
      <c r="K398" s="224"/>
      <c r="L398" s="204">
        <f t="shared" si="41"/>
        <v>0</v>
      </c>
      <c r="M398" s="215"/>
      <c r="N398" s="204"/>
      <c r="O398" s="204"/>
    </row>
    <row r="399" spans="1:15" ht="13.5" customHeight="1">
      <c r="A399" s="214"/>
      <c r="B399" s="218" t="s">
        <v>1116</v>
      </c>
      <c r="C399" s="215"/>
      <c r="D399" s="216"/>
      <c r="E399" s="21"/>
      <c r="F399" s="360" t="s">
        <v>142</v>
      </c>
      <c r="G399" s="224"/>
      <c r="H399" s="213">
        <f t="shared" si="40"/>
        <v>51020.29</v>
      </c>
      <c r="I399" s="226"/>
      <c r="J399" s="204">
        <v>51020.29</v>
      </c>
      <c r="K399" s="224"/>
      <c r="L399" s="204">
        <f t="shared" si="41"/>
        <v>51020.29</v>
      </c>
      <c r="M399" s="215"/>
      <c r="N399" s="204"/>
      <c r="O399" s="204"/>
    </row>
    <row r="400" spans="1:15" ht="13.5" customHeight="1">
      <c r="A400" s="214"/>
      <c r="B400" s="218" t="s">
        <v>937</v>
      </c>
      <c r="C400" s="215"/>
      <c r="D400" s="216"/>
      <c r="E400" s="21"/>
      <c r="F400" s="360" t="s">
        <v>143</v>
      </c>
      <c r="G400" s="224"/>
      <c r="H400" s="213">
        <f t="shared" si="40"/>
        <v>492.75</v>
      </c>
      <c r="I400" s="226"/>
      <c r="J400" s="204">
        <v>492.75</v>
      </c>
      <c r="K400" s="224"/>
      <c r="L400" s="204">
        <f t="shared" si="41"/>
        <v>492.75</v>
      </c>
      <c r="M400" s="215"/>
      <c r="N400" s="204"/>
      <c r="O400" s="204"/>
    </row>
    <row r="401" spans="1:17" ht="13.5" customHeight="1">
      <c r="A401" s="214"/>
      <c r="B401" s="218" t="s">
        <v>1141</v>
      </c>
      <c r="C401" s="215"/>
      <c r="D401" s="216"/>
      <c r="E401" s="21"/>
      <c r="F401" s="360" t="s">
        <v>144</v>
      </c>
      <c r="G401" s="224"/>
      <c r="H401" s="213">
        <f t="shared" si="40"/>
        <v>19899.25</v>
      </c>
      <c r="I401" s="226"/>
      <c r="J401" s="204"/>
      <c r="K401" s="224"/>
      <c r="L401" s="204">
        <f t="shared" si="41"/>
        <v>19899.25</v>
      </c>
      <c r="M401" s="215"/>
      <c r="N401" s="204">
        <v>0</v>
      </c>
      <c r="O401" s="204">
        <v>19899.25</v>
      </c>
    </row>
    <row r="402" spans="1:17" ht="13.5" customHeight="1">
      <c r="A402" s="214"/>
      <c r="B402" s="218" t="s">
        <v>1142</v>
      </c>
      <c r="C402" s="215"/>
      <c r="D402" s="216"/>
      <c r="E402" s="21"/>
      <c r="F402" s="360" t="s">
        <v>146</v>
      </c>
      <c r="G402" s="224"/>
      <c r="H402" s="213">
        <f t="shared" si="40"/>
        <v>6755</v>
      </c>
      <c r="I402" s="226"/>
      <c r="J402" s="204"/>
      <c r="K402" s="224"/>
      <c r="L402" s="204">
        <f t="shared" si="41"/>
        <v>6755</v>
      </c>
      <c r="M402" s="215"/>
      <c r="N402" s="204">
        <v>0</v>
      </c>
      <c r="O402" s="204">
        <v>6755</v>
      </c>
    </row>
    <row r="403" spans="1:17" ht="13.5" customHeight="1">
      <c r="A403" s="214"/>
      <c r="B403" s="491" t="s">
        <v>1148</v>
      </c>
      <c r="C403" s="215"/>
      <c r="D403" s="216"/>
      <c r="E403" s="21"/>
      <c r="F403" s="360" t="s">
        <v>147</v>
      </c>
      <c r="G403" s="224"/>
      <c r="H403" s="213">
        <f t="shared" si="40"/>
        <v>2437.9499999999998</v>
      </c>
      <c r="I403" s="226"/>
      <c r="J403" s="204"/>
      <c r="K403" s="224"/>
      <c r="L403" s="204">
        <f t="shared" si="41"/>
        <v>2437.9499999999998</v>
      </c>
      <c r="M403" s="215"/>
      <c r="N403" s="204">
        <v>0</v>
      </c>
      <c r="O403" s="204">
        <v>2437.9499999999998</v>
      </c>
    </row>
    <row r="404" spans="1:17">
      <c r="A404" s="214"/>
      <c r="B404" s="215"/>
      <c r="C404" s="215"/>
      <c r="D404" s="216"/>
      <c r="E404" s="21"/>
      <c r="F404" s="25"/>
      <c r="G404" s="545"/>
      <c r="H404" s="220">
        <f>SUM(H386:H403)</f>
        <v>225805.13000000003</v>
      </c>
      <c r="I404" s="226">
        <f>+G385-H404</f>
        <v>0</v>
      </c>
      <c r="J404" s="224">
        <v>0</v>
      </c>
      <c r="K404" s="224"/>
      <c r="L404" s="204">
        <f>+J404+O404-N404</f>
        <v>0</v>
      </c>
      <c r="M404" s="215"/>
      <c r="N404" s="204"/>
      <c r="O404" s="204"/>
    </row>
    <row r="405" spans="1:17">
      <c r="A405" s="214"/>
      <c r="B405" s="215"/>
      <c r="C405" s="215"/>
      <c r="D405" s="216"/>
      <c r="E405" s="21"/>
      <c r="F405" s="25"/>
      <c r="G405" s="545"/>
      <c r="H405" s="217"/>
      <c r="I405" s="226"/>
      <c r="J405" s="224"/>
      <c r="K405" s="224"/>
      <c r="L405" s="204"/>
      <c r="M405" s="215"/>
      <c r="N405" s="204"/>
    </row>
    <row r="406" spans="1:17">
      <c r="A406" s="214" t="s">
        <v>46</v>
      </c>
      <c r="B406" s="215"/>
      <c r="C406" s="215"/>
      <c r="D406" s="216"/>
      <c r="E406" s="227">
        <v>439</v>
      </c>
      <c r="F406" s="222"/>
      <c r="G406" s="224">
        <f>+TB!E171</f>
        <v>58050</v>
      </c>
      <c r="H406" s="217"/>
      <c r="I406" s="226"/>
      <c r="J406" s="224"/>
      <c r="K406" s="224"/>
      <c r="L406" s="204"/>
      <c r="M406" s="215"/>
      <c r="N406" s="204"/>
      <c r="O406" s="204"/>
    </row>
    <row r="407" spans="1:17">
      <c r="A407" s="214"/>
      <c r="B407" s="215" t="s">
        <v>353</v>
      </c>
      <c r="C407" s="215"/>
      <c r="D407" s="216"/>
      <c r="E407" s="234"/>
      <c r="F407" s="221" t="s">
        <v>128</v>
      </c>
      <c r="G407" s="545"/>
      <c r="H407" s="213">
        <f>+L407</f>
        <v>48000.000000000116</v>
      </c>
      <c r="I407" s="592"/>
      <c r="J407" s="224">
        <v>38500.000000000116</v>
      </c>
      <c r="K407" s="224"/>
      <c r="L407" s="204">
        <f>+J407+O407-N407</f>
        <v>48000.000000000116</v>
      </c>
      <c r="M407" s="215"/>
      <c r="N407" s="204">
        <v>470169.15</v>
      </c>
      <c r="O407" s="204">
        <v>479669.15</v>
      </c>
    </row>
    <row r="408" spans="1:17">
      <c r="A408" s="214"/>
      <c r="B408" s="350" t="s">
        <v>505</v>
      </c>
      <c r="C408" s="215"/>
      <c r="D408" s="216"/>
      <c r="E408" s="234"/>
      <c r="F408" s="221" t="s">
        <v>129</v>
      </c>
      <c r="G408" s="545"/>
      <c r="H408" s="213">
        <f>+L408</f>
        <v>5400</v>
      </c>
      <c r="I408" s="592"/>
      <c r="J408" s="224">
        <v>5400</v>
      </c>
      <c r="K408" s="224"/>
      <c r="L408" s="204">
        <f>+J408+O408-N408</f>
        <v>5400</v>
      </c>
      <c r="M408" s="215"/>
      <c r="N408" s="204"/>
      <c r="O408" s="368"/>
    </row>
    <row r="409" spans="1:17">
      <c r="A409" s="214"/>
      <c r="B409" s="215" t="s">
        <v>5</v>
      </c>
      <c r="C409" s="215"/>
      <c r="D409" s="216"/>
      <c r="E409" s="234"/>
      <c r="F409" s="221" t="s">
        <v>132</v>
      </c>
      <c r="G409" s="545"/>
      <c r="H409" s="213">
        <f>+L409</f>
        <v>1400</v>
      </c>
      <c r="I409" s="592"/>
      <c r="J409" s="224">
        <v>1400</v>
      </c>
      <c r="K409" s="224"/>
      <c r="L409" s="204">
        <f>+J409+O409-N409</f>
        <v>1400</v>
      </c>
      <c r="M409" s="215"/>
      <c r="N409" s="204"/>
      <c r="O409" s="204"/>
    </row>
    <row r="410" spans="1:17">
      <c r="A410" s="214"/>
      <c r="B410" s="215" t="s">
        <v>1133</v>
      </c>
      <c r="C410" s="215"/>
      <c r="D410" s="216"/>
      <c r="E410" s="234"/>
      <c r="F410" s="221" t="s">
        <v>133</v>
      </c>
      <c r="G410" s="545"/>
      <c r="H410" s="213">
        <f>+L410</f>
        <v>3250</v>
      </c>
      <c r="I410" s="592"/>
      <c r="J410" s="224">
        <v>4750</v>
      </c>
      <c r="K410" s="224"/>
      <c r="L410" s="204">
        <f>+J410+O410-N410</f>
        <v>3250</v>
      </c>
      <c r="M410" s="215"/>
      <c r="N410" s="204">
        <v>1500</v>
      </c>
      <c r="O410" s="204">
        <v>0</v>
      </c>
    </row>
    <row r="411" spans="1:17">
      <c r="A411" s="214"/>
      <c r="B411" s="215"/>
      <c r="C411" s="215"/>
      <c r="D411" s="216"/>
      <c r="E411" s="23"/>
      <c r="F411" s="25"/>
      <c r="G411" s="545"/>
      <c r="H411" s="220">
        <f>SUM(H407:H410)</f>
        <v>58050.000000000116</v>
      </c>
      <c r="I411" s="592">
        <f>+G406-H411</f>
        <v>-1.1641532182693481E-10</v>
      </c>
      <c r="J411" s="224"/>
      <c r="K411" s="224"/>
      <c r="L411" s="204"/>
      <c r="M411" s="215"/>
      <c r="N411" s="204"/>
      <c r="O411" s="204"/>
    </row>
    <row r="412" spans="1:17">
      <c r="A412" s="238"/>
      <c r="B412" s="231"/>
      <c r="C412" s="231"/>
      <c r="D412" s="369"/>
      <c r="E412" s="598"/>
      <c r="F412" s="656"/>
      <c r="G412" s="676"/>
      <c r="H412" s="370"/>
      <c r="I412" s="226"/>
      <c r="J412" s="224"/>
      <c r="K412" s="224"/>
      <c r="L412" s="204"/>
      <c r="M412" s="215"/>
      <c r="N412" s="204"/>
      <c r="O412" s="204"/>
    </row>
    <row r="413" spans="1:17">
      <c r="A413" s="214" t="s">
        <v>168</v>
      </c>
      <c r="B413" s="215"/>
      <c r="C413" s="215"/>
      <c r="D413" s="216"/>
      <c r="E413" s="21">
        <v>452</v>
      </c>
      <c r="F413" s="25"/>
      <c r="G413" s="224">
        <f>+TB!E179</f>
        <v>11864007.116899967</v>
      </c>
      <c r="H413" s="217"/>
      <c r="I413" s="226"/>
      <c r="J413" s="224"/>
      <c r="K413" s="224"/>
      <c r="L413" s="204"/>
      <c r="M413" s="215"/>
      <c r="N413" s="204"/>
      <c r="O413" s="204"/>
    </row>
    <row r="414" spans="1:17">
      <c r="A414" s="214"/>
      <c r="B414" s="350" t="s">
        <v>1016</v>
      </c>
      <c r="C414" s="215"/>
      <c r="D414" s="216"/>
      <c r="E414" s="21"/>
      <c r="F414" s="360" t="s">
        <v>128</v>
      </c>
      <c r="G414" s="224"/>
      <c r="H414" s="213">
        <f t="shared" ref="H414:H439" si="42">+L414</f>
        <v>0</v>
      </c>
      <c r="I414" s="226"/>
      <c r="J414" s="224">
        <v>103082.82000000011</v>
      </c>
      <c r="K414" s="224"/>
      <c r="L414" s="204">
        <f t="shared" ref="L414:L439" si="43">+J414+O414-N414</f>
        <v>0</v>
      </c>
      <c r="M414" s="215"/>
      <c r="N414" s="204">
        <v>188167.64</v>
      </c>
      <c r="O414" s="204">
        <v>85084.819999999905</v>
      </c>
      <c r="P414" s="204"/>
      <c r="Q414" s="16"/>
    </row>
    <row r="415" spans="1:17">
      <c r="A415" s="214"/>
      <c r="B415" s="350" t="s">
        <v>1017</v>
      </c>
      <c r="C415" s="215"/>
      <c r="D415" s="216"/>
      <c r="E415" s="21"/>
      <c r="F415" s="360" t="s">
        <v>129</v>
      </c>
      <c r="G415" s="224"/>
      <c r="H415" s="213">
        <f t="shared" si="42"/>
        <v>0</v>
      </c>
      <c r="I415" s="226"/>
      <c r="J415" s="224">
        <v>0</v>
      </c>
      <c r="K415" s="224"/>
      <c r="L415" s="204">
        <f t="shared" si="43"/>
        <v>0</v>
      </c>
      <c r="M415" s="215"/>
      <c r="N415" s="204">
        <v>0</v>
      </c>
      <c r="O415" s="204"/>
      <c r="P415" s="601"/>
      <c r="Q415" s="16"/>
    </row>
    <row r="416" spans="1:17">
      <c r="A416" s="214"/>
      <c r="B416" s="350" t="s">
        <v>1018</v>
      </c>
      <c r="C416" s="215"/>
      <c r="D416" s="216"/>
      <c r="E416" s="21"/>
      <c r="F416" s="360" t="s">
        <v>132</v>
      </c>
      <c r="G416" s="224"/>
      <c r="H416" s="213">
        <f t="shared" si="42"/>
        <v>33865.210000000021</v>
      </c>
      <c r="I416" s="226"/>
      <c r="J416" s="224">
        <v>35402.92000000002</v>
      </c>
      <c r="K416" s="224"/>
      <c r="L416" s="204">
        <f t="shared" si="43"/>
        <v>33865.210000000021</v>
      </c>
      <c r="M416" s="215"/>
      <c r="N416" s="204">
        <v>1537.71</v>
      </c>
      <c r="O416" s="204"/>
      <c r="P416" s="204"/>
      <c r="Q416" s="16"/>
    </row>
    <row r="417" spans="1:17">
      <c r="A417" s="214"/>
      <c r="B417" s="350" t="s">
        <v>1019</v>
      </c>
      <c r="C417" s="215"/>
      <c r="D417" s="216"/>
      <c r="E417" s="21"/>
      <c r="F417" s="360" t="s">
        <v>133</v>
      </c>
      <c r="G417" s="224"/>
      <c r="H417" s="213">
        <f t="shared" si="42"/>
        <v>72151.290000000416</v>
      </c>
      <c r="I417" s="226"/>
      <c r="J417" s="224">
        <v>80335.460000000414</v>
      </c>
      <c r="K417" s="224"/>
      <c r="L417" s="204">
        <f t="shared" si="43"/>
        <v>72151.290000000416</v>
      </c>
      <c r="M417" s="215"/>
      <c r="N417" s="204">
        <v>8184.170000000001</v>
      </c>
      <c r="O417" s="204"/>
      <c r="P417" s="204"/>
      <c r="Q417" s="16"/>
    </row>
    <row r="418" spans="1:17">
      <c r="A418" s="214"/>
      <c r="B418" s="350" t="s">
        <v>1020</v>
      </c>
      <c r="C418" s="215"/>
      <c r="D418" s="216"/>
      <c r="E418" s="21"/>
      <c r="F418" s="360" t="s">
        <v>134</v>
      </c>
      <c r="G418" s="224"/>
      <c r="H418" s="213">
        <f t="shared" si="42"/>
        <v>273661.63</v>
      </c>
      <c r="I418" s="226"/>
      <c r="J418" s="224">
        <v>315137.77999999997</v>
      </c>
      <c r="K418" s="224"/>
      <c r="L418" s="204">
        <f t="shared" si="43"/>
        <v>273661.63</v>
      </c>
      <c r="M418" s="215"/>
      <c r="N418" s="204">
        <v>41476.149999999994</v>
      </c>
      <c r="O418" s="204"/>
      <c r="P418" s="204"/>
      <c r="Q418" s="16"/>
    </row>
    <row r="419" spans="1:17">
      <c r="A419" s="214"/>
      <c r="B419" s="350" t="s">
        <v>1021</v>
      </c>
      <c r="C419" s="215"/>
      <c r="D419" s="216"/>
      <c r="E419" s="21"/>
      <c r="F419" s="360" t="s">
        <v>135</v>
      </c>
      <c r="G419" s="224"/>
      <c r="H419" s="213">
        <f t="shared" si="42"/>
        <v>394400.38000000024</v>
      </c>
      <c r="I419" s="226"/>
      <c r="J419" s="224">
        <v>589122.3400000002</v>
      </c>
      <c r="K419" s="224"/>
      <c r="L419" s="204">
        <f t="shared" si="43"/>
        <v>394400.38000000024</v>
      </c>
      <c r="M419" s="215"/>
      <c r="N419" s="204">
        <v>194721.96</v>
      </c>
      <c r="O419" s="204"/>
      <c r="P419" s="204"/>
      <c r="Q419" s="16"/>
    </row>
    <row r="420" spans="1:17">
      <c r="A420" s="214"/>
      <c r="B420" s="350" t="s">
        <v>1022</v>
      </c>
      <c r="C420" s="215"/>
      <c r="D420" s="216"/>
      <c r="E420" s="21"/>
      <c r="F420" s="360" t="s">
        <v>130</v>
      </c>
      <c r="G420" s="224"/>
      <c r="H420" s="213">
        <f t="shared" si="42"/>
        <v>123485.37999999995</v>
      </c>
      <c r="I420" s="226"/>
      <c r="J420" s="224">
        <v>347378.06999999995</v>
      </c>
      <c r="K420" s="224"/>
      <c r="L420" s="204">
        <f t="shared" si="43"/>
        <v>123485.37999999995</v>
      </c>
      <c r="M420" s="215"/>
      <c r="N420" s="204">
        <v>223892.69</v>
      </c>
      <c r="O420" s="368"/>
      <c r="P420" s="204"/>
      <c r="Q420" s="16"/>
    </row>
    <row r="421" spans="1:17">
      <c r="A421" s="214"/>
      <c r="B421" s="350" t="s">
        <v>1023</v>
      </c>
      <c r="C421" s="215"/>
      <c r="D421" s="216"/>
      <c r="E421" s="21"/>
      <c r="F421" s="360" t="s">
        <v>136</v>
      </c>
      <c r="G421" s="224"/>
      <c r="H421" s="213">
        <f t="shared" si="42"/>
        <v>139031.20799999998</v>
      </c>
      <c r="I421" s="226"/>
      <c r="J421" s="224">
        <v>172521.52799999999</v>
      </c>
      <c r="K421" s="224"/>
      <c r="L421" s="204">
        <f t="shared" si="43"/>
        <v>139031.20799999998</v>
      </c>
      <c r="M421" s="215"/>
      <c r="N421" s="204">
        <v>33490.32</v>
      </c>
      <c r="O421" s="204"/>
      <c r="P421" s="204"/>
      <c r="Q421" s="16"/>
    </row>
    <row r="422" spans="1:17">
      <c r="A422" s="214"/>
      <c r="B422" s="350" t="s">
        <v>1024</v>
      </c>
      <c r="C422" s="215"/>
      <c r="D422" s="216"/>
      <c r="E422" s="21"/>
      <c r="F422" s="360" t="s">
        <v>137</v>
      </c>
      <c r="G422" s="224"/>
      <c r="H422" s="213">
        <f t="shared" si="42"/>
        <v>0</v>
      </c>
      <c r="I422" s="226"/>
      <c r="J422" s="224">
        <v>24946.320000000123</v>
      </c>
      <c r="K422" s="224"/>
      <c r="L422" s="204">
        <f t="shared" si="43"/>
        <v>0</v>
      </c>
      <c r="M422" s="215"/>
      <c r="N422" s="204">
        <v>73406.81</v>
      </c>
      <c r="O422" s="204">
        <v>48460.489999999903</v>
      </c>
      <c r="P422" s="204"/>
      <c r="Q422" s="16"/>
    </row>
    <row r="423" spans="1:17">
      <c r="A423" s="214"/>
      <c r="B423" s="350" t="s">
        <v>1025</v>
      </c>
      <c r="C423" s="215"/>
      <c r="D423" s="216"/>
      <c r="E423" s="21"/>
      <c r="F423" s="360" t="s">
        <v>138</v>
      </c>
      <c r="G423" s="224"/>
      <c r="H423" s="213">
        <f t="shared" si="42"/>
        <v>192864.24700000021</v>
      </c>
      <c r="I423" s="226"/>
      <c r="J423" s="224">
        <v>243584.7200000002</v>
      </c>
      <c r="K423" s="224"/>
      <c r="L423" s="204">
        <f t="shared" si="43"/>
        <v>192864.24700000021</v>
      </c>
      <c r="M423" s="215"/>
      <c r="N423" s="204">
        <v>50720.472999999998</v>
      </c>
      <c r="O423" s="204"/>
      <c r="P423" s="204"/>
      <c r="Q423" s="16"/>
    </row>
    <row r="424" spans="1:17">
      <c r="A424" s="214"/>
      <c r="B424" s="350" t="s">
        <v>1026</v>
      </c>
      <c r="C424" s="215"/>
      <c r="D424" s="215"/>
      <c r="E424" s="21"/>
      <c r="F424" s="360" t="s">
        <v>139</v>
      </c>
      <c r="G424" s="545"/>
      <c r="H424" s="671">
        <f t="shared" si="42"/>
        <v>2228378.0699999998</v>
      </c>
      <c r="I424" s="226"/>
      <c r="J424" s="224">
        <v>2312000.3199999998</v>
      </c>
      <c r="K424" s="224"/>
      <c r="L424" s="204">
        <f t="shared" si="43"/>
        <v>2228378.0699999998</v>
      </c>
      <c r="M424" s="215"/>
      <c r="N424" s="204">
        <v>83622.25</v>
      </c>
      <c r="O424" s="204"/>
      <c r="P424" s="204"/>
      <c r="Q424" s="16"/>
    </row>
    <row r="425" spans="1:17">
      <c r="A425" s="214"/>
      <c r="B425" s="350" t="s">
        <v>1027</v>
      </c>
      <c r="C425" s="215"/>
      <c r="D425" s="216"/>
      <c r="E425" s="21"/>
      <c r="F425" s="360" t="s">
        <v>140</v>
      </c>
      <c r="G425" s="224"/>
      <c r="H425" s="213">
        <f t="shared" si="42"/>
        <v>3996.6154999862629</v>
      </c>
      <c r="I425" s="226"/>
      <c r="J425" s="224">
        <v>81733.695499986265</v>
      </c>
      <c r="K425" s="224"/>
      <c r="L425" s="204">
        <f t="shared" si="43"/>
        <v>3996.6154999862629</v>
      </c>
      <c r="M425" s="215"/>
      <c r="N425" s="204">
        <v>77737.08</v>
      </c>
      <c r="O425" s="204"/>
      <c r="P425" s="368"/>
      <c r="Q425" s="16"/>
    </row>
    <row r="426" spans="1:17">
      <c r="A426" s="214"/>
      <c r="B426" s="350" t="s">
        <v>1028</v>
      </c>
      <c r="C426" s="215"/>
      <c r="D426" s="216"/>
      <c r="E426" s="21"/>
      <c r="F426" s="360" t="s">
        <v>141</v>
      </c>
      <c r="G426" s="224"/>
      <c r="H426" s="213">
        <f t="shared" si="42"/>
        <v>361457.84</v>
      </c>
      <c r="I426" s="226"/>
      <c r="J426" s="224">
        <v>396750.45000000007</v>
      </c>
      <c r="K426" s="224"/>
      <c r="L426" s="204">
        <f t="shared" si="43"/>
        <v>361457.84</v>
      </c>
      <c r="M426" s="215"/>
      <c r="N426" s="204">
        <v>150373.58000000002</v>
      </c>
      <c r="O426" s="204">
        <v>115080.97</v>
      </c>
      <c r="P426" s="204"/>
      <c r="Q426" s="16"/>
    </row>
    <row r="427" spans="1:17">
      <c r="A427" s="214"/>
      <c r="B427" s="350" t="s">
        <v>1029</v>
      </c>
      <c r="C427" s="215"/>
      <c r="D427" s="216"/>
      <c r="E427" s="21"/>
      <c r="F427" s="360" t="s">
        <v>142</v>
      </c>
      <c r="G427" s="224"/>
      <c r="H427" s="213">
        <f t="shared" si="42"/>
        <v>67619.179999999673</v>
      </c>
      <c r="I427" s="226"/>
      <c r="J427" s="224">
        <v>74355.799999999668</v>
      </c>
      <c r="K427" s="224"/>
      <c r="L427" s="204">
        <f t="shared" si="43"/>
        <v>67619.179999999673</v>
      </c>
      <c r="M427" s="215"/>
      <c r="N427" s="204">
        <v>6736.62</v>
      </c>
      <c r="O427" s="204"/>
      <c r="P427" s="204"/>
      <c r="Q427" s="16"/>
    </row>
    <row r="428" spans="1:17">
      <c r="A428" s="214"/>
      <c r="B428" s="350" t="s">
        <v>1030</v>
      </c>
      <c r="C428" s="215"/>
      <c r="D428" s="216"/>
      <c r="E428" s="21"/>
      <c r="F428" s="360" t="s">
        <v>143</v>
      </c>
      <c r="G428" s="224"/>
      <c r="H428" s="213">
        <f t="shared" si="42"/>
        <v>415775.73999999953</v>
      </c>
      <c r="I428" s="226"/>
      <c r="J428" s="224">
        <v>507264.40999999957</v>
      </c>
      <c r="K428" s="224"/>
      <c r="L428" s="204">
        <f t="shared" si="43"/>
        <v>415775.73999999953</v>
      </c>
      <c r="M428" s="215"/>
      <c r="N428" s="204">
        <v>91488.670000000013</v>
      </c>
      <c r="O428" s="204"/>
      <c r="P428" s="204"/>
      <c r="Q428" s="16"/>
    </row>
    <row r="429" spans="1:17">
      <c r="A429" s="214"/>
      <c r="B429" s="350" t="s">
        <v>1031</v>
      </c>
      <c r="C429" s="215"/>
      <c r="D429" s="216"/>
      <c r="E429" s="21"/>
      <c r="F429" s="360" t="s">
        <v>144</v>
      </c>
      <c r="G429" s="224"/>
      <c r="H429" s="213">
        <f t="shared" si="42"/>
        <v>2500566.384500003</v>
      </c>
      <c r="I429" s="226"/>
      <c r="J429" s="224">
        <v>3122193.9545000028</v>
      </c>
      <c r="K429" s="224"/>
      <c r="L429" s="204">
        <f t="shared" si="43"/>
        <v>2500566.384500003</v>
      </c>
      <c r="M429" s="215"/>
      <c r="N429" s="204">
        <v>621627.56999999995</v>
      </c>
      <c r="O429" s="204"/>
      <c r="P429" s="204"/>
      <c r="Q429" s="16"/>
    </row>
    <row r="430" spans="1:17">
      <c r="A430" s="214"/>
      <c r="B430" s="350" t="s">
        <v>1032</v>
      </c>
      <c r="C430" s="215"/>
      <c r="D430" s="216"/>
      <c r="E430" s="21"/>
      <c r="F430" s="360" t="s">
        <v>146</v>
      </c>
      <c r="G430" s="224"/>
      <c r="H430" s="213">
        <f t="shared" si="42"/>
        <v>9325.1168999999863</v>
      </c>
      <c r="I430" s="226"/>
      <c r="J430" s="224">
        <v>42971.226899999987</v>
      </c>
      <c r="K430" s="224"/>
      <c r="L430" s="204">
        <f t="shared" si="43"/>
        <v>9325.1168999999863</v>
      </c>
      <c r="M430" s="215"/>
      <c r="N430" s="204">
        <v>33646.11</v>
      </c>
      <c r="O430" s="204"/>
      <c r="P430" s="204"/>
      <c r="Q430" s="16"/>
    </row>
    <row r="431" spans="1:17">
      <c r="A431" s="214"/>
      <c r="B431" s="350" t="s">
        <v>1033</v>
      </c>
      <c r="C431" s="215"/>
      <c r="D431" s="216"/>
      <c r="E431" s="21"/>
      <c r="F431" s="360" t="s">
        <v>147</v>
      </c>
      <c r="G431" s="224"/>
      <c r="H431" s="213">
        <f t="shared" si="42"/>
        <v>109076.79000000001</v>
      </c>
      <c r="I431" s="226"/>
      <c r="J431" s="224">
        <v>114885.49</v>
      </c>
      <c r="K431" s="224"/>
      <c r="L431" s="204">
        <f t="shared" si="43"/>
        <v>109076.79000000001</v>
      </c>
      <c r="M431" s="215"/>
      <c r="N431" s="204">
        <v>5808.7</v>
      </c>
      <c r="O431" s="204"/>
      <c r="P431" s="204"/>
      <c r="Q431" s="16"/>
    </row>
    <row r="432" spans="1:17">
      <c r="A432" s="214"/>
      <c r="B432" s="350" t="s">
        <v>1034</v>
      </c>
      <c r="C432" s="215"/>
      <c r="D432" s="216"/>
      <c r="E432" s="21"/>
      <c r="F432" s="360" t="s">
        <v>148</v>
      </c>
      <c r="G432" s="224"/>
      <c r="H432" s="213">
        <f t="shared" si="42"/>
        <v>32126.009999999995</v>
      </c>
      <c r="I432" s="226"/>
      <c r="J432" s="224">
        <v>33725.339999999997</v>
      </c>
      <c r="K432" s="224"/>
      <c r="L432" s="204">
        <f t="shared" si="43"/>
        <v>32126.009999999995</v>
      </c>
      <c r="M432" s="215"/>
      <c r="N432" s="204">
        <v>1599.33</v>
      </c>
      <c r="O432" s="204"/>
      <c r="P432" s="204"/>
      <c r="Q432" s="16"/>
    </row>
    <row r="433" spans="1:17">
      <c r="A433" s="214"/>
      <c r="B433" s="350" t="s">
        <v>1035</v>
      </c>
      <c r="C433" s="215"/>
      <c r="D433" s="216"/>
      <c r="E433" s="21"/>
      <c r="F433" s="360" t="s">
        <v>149</v>
      </c>
      <c r="G433" s="224"/>
      <c r="H433" s="213">
        <f t="shared" si="42"/>
        <v>631824.80999999936</v>
      </c>
      <c r="I433" s="226"/>
      <c r="J433" s="224">
        <v>696735.4999999993</v>
      </c>
      <c r="K433" s="224"/>
      <c r="L433" s="204">
        <f t="shared" si="43"/>
        <v>631824.80999999936</v>
      </c>
      <c r="M433" s="215"/>
      <c r="N433" s="204">
        <v>64910.69</v>
      </c>
      <c r="O433" s="204"/>
      <c r="P433" s="204"/>
      <c r="Q433" s="16"/>
    </row>
    <row r="434" spans="1:17">
      <c r="A434" s="214"/>
      <c r="B434" s="350" t="s">
        <v>1036</v>
      </c>
      <c r="C434" s="215"/>
      <c r="D434" s="216"/>
      <c r="E434" s="21"/>
      <c r="F434" s="360" t="s">
        <v>150</v>
      </c>
      <c r="G434" s="224"/>
      <c r="H434" s="213">
        <f t="shared" si="42"/>
        <v>66390.239999999772</v>
      </c>
      <c r="I434" s="226"/>
      <c r="J434" s="224">
        <v>68680.569999999774</v>
      </c>
      <c r="K434" s="224"/>
      <c r="L434" s="204">
        <f t="shared" si="43"/>
        <v>66390.239999999772</v>
      </c>
      <c r="M434" s="215"/>
      <c r="N434" s="204">
        <v>2290.33</v>
      </c>
      <c r="O434" s="204"/>
      <c r="P434" s="204"/>
      <c r="Q434" s="16"/>
    </row>
    <row r="435" spans="1:17">
      <c r="A435" s="214"/>
      <c r="B435" s="350" t="s">
        <v>1037</v>
      </c>
      <c r="C435" s="215"/>
      <c r="D435" s="216"/>
      <c r="E435" s="21"/>
      <c r="F435" s="360" t="s">
        <v>151</v>
      </c>
      <c r="G435" s="224"/>
      <c r="H435" s="213">
        <f t="shared" si="42"/>
        <v>1228594.5299999996</v>
      </c>
      <c r="I435" s="226"/>
      <c r="J435" s="224">
        <v>1228602.1299999997</v>
      </c>
      <c r="K435" s="224"/>
      <c r="L435" s="204">
        <f t="shared" si="43"/>
        <v>1228594.5299999996</v>
      </c>
      <c r="M435" s="215"/>
      <c r="N435" s="204">
        <v>7.6</v>
      </c>
      <c r="O435" s="204"/>
      <c r="P435" s="204"/>
      <c r="Q435" s="16"/>
    </row>
    <row r="436" spans="1:17">
      <c r="A436" s="214"/>
      <c r="B436" s="350" t="s">
        <v>1038</v>
      </c>
      <c r="C436" s="215"/>
      <c r="D436" s="216"/>
      <c r="E436" s="21"/>
      <c r="F436" s="360" t="s">
        <v>1042</v>
      </c>
      <c r="G436" s="224"/>
      <c r="H436" s="213">
        <f t="shared" si="42"/>
        <v>160637.69</v>
      </c>
      <c r="I436" s="226"/>
      <c r="J436" s="224">
        <v>183184.74</v>
      </c>
      <c r="K436" s="224"/>
      <c r="L436" s="204">
        <f t="shared" si="43"/>
        <v>160637.69</v>
      </c>
      <c r="M436" s="215"/>
      <c r="N436" s="204">
        <v>22547.050000000003</v>
      </c>
      <c r="O436" s="204"/>
      <c r="P436" s="204"/>
      <c r="Q436" s="16"/>
    </row>
    <row r="437" spans="1:17">
      <c r="A437" s="214"/>
      <c r="B437" s="350" t="s">
        <v>1039</v>
      </c>
      <c r="C437" s="215"/>
      <c r="D437" s="216"/>
      <c r="E437" s="21"/>
      <c r="F437" s="360" t="s">
        <v>1043</v>
      </c>
      <c r="G437" s="224"/>
      <c r="H437" s="213">
        <f t="shared" si="42"/>
        <v>2585006.2000000002</v>
      </c>
      <c r="I437" s="226"/>
      <c r="J437" s="224">
        <v>3390983.17</v>
      </c>
      <c r="K437" s="224"/>
      <c r="L437" s="204">
        <f t="shared" si="43"/>
        <v>2585006.2000000002</v>
      </c>
      <c r="M437" s="215"/>
      <c r="N437" s="204">
        <v>805976.97</v>
      </c>
      <c r="O437" s="204"/>
      <c r="P437" s="204"/>
      <c r="Q437" s="16"/>
    </row>
    <row r="438" spans="1:17">
      <c r="A438" s="214"/>
      <c r="B438" s="350" t="s">
        <v>1040</v>
      </c>
      <c r="C438" s="215"/>
      <c r="D438" s="216"/>
      <c r="E438" s="21"/>
      <c r="F438" s="360" t="s">
        <v>1044</v>
      </c>
      <c r="G438" s="545"/>
      <c r="H438" s="213">
        <f t="shared" si="42"/>
        <v>172738.5</v>
      </c>
      <c r="I438" s="226"/>
      <c r="J438" s="224">
        <v>176234.69</v>
      </c>
      <c r="K438" s="224"/>
      <c r="L438" s="204">
        <f t="shared" si="43"/>
        <v>172738.5</v>
      </c>
      <c r="M438" s="215"/>
      <c r="N438" s="204">
        <v>3496.19</v>
      </c>
      <c r="O438" s="204"/>
      <c r="P438" s="204"/>
      <c r="Q438" s="16"/>
    </row>
    <row r="439" spans="1:17">
      <c r="A439" s="214"/>
      <c r="B439" s="350" t="s">
        <v>1041</v>
      </c>
      <c r="C439" s="215"/>
      <c r="D439" s="216"/>
      <c r="E439" s="21"/>
      <c r="F439" s="360" t="s">
        <v>1045</v>
      </c>
      <c r="G439" s="545"/>
      <c r="H439" s="213">
        <f t="shared" si="42"/>
        <v>61034.049999999988</v>
      </c>
      <c r="I439" s="226"/>
      <c r="J439" s="224">
        <v>62550.029999999992</v>
      </c>
      <c r="K439" s="224"/>
      <c r="L439" s="204">
        <f t="shared" si="43"/>
        <v>61034.049999999988</v>
      </c>
      <c r="M439" s="215"/>
      <c r="N439" s="204">
        <v>1515.98</v>
      </c>
      <c r="O439" s="204"/>
      <c r="P439" s="204"/>
      <c r="Q439" s="16"/>
    </row>
    <row r="440" spans="1:17">
      <c r="A440" s="214"/>
      <c r="B440" s="215"/>
      <c r="C440" s="215"/>
      <c r="D440" s="216"/>
      <c r="E440" s="21"/>
      <c r="F440" s="25"/>
      <c r="G440" s="545"/>
      <c r="H440" s="220">
        <f>SUM(H414:H439)</f>
        <v>11864007.111899991</v>
      </c>
      <c r="I440" s="204">
        <f>+G413-H440</f>
        <v>4.9999766051769257E-3</v>
      </c>
      <c r="J440" s="224"/>
      <c r="K440" s="224"/>
      <c r="L440" s="204"/>
      <c r="M440" s="215"/>
      <c r="N440" s="204"/>
      <c r="O440" s="204"/>
    </row>
    <row r="441" spans="1:17">
      <c r="A441" s="214"/>
      <c r="B441" s="215"/>
      <c r="C441" s="215"/>
      <c r="D441" s="216"/>
      <c r="E441" s="21"/>
      <c r="F441" s="25"/>
      <c r="G441" s="545"/>
      <c r="H441" s="217"/>
      <c r="I441" s="226"/>
      <c r="J441" s="224"/>
      <c r="K441" s="224"/>
      <c r="L441" s="204"/>
      <c r="M441" s="215"/>
      <c r="N441" s="204"/>
      <c r="O441" s="204"/>
      <c r="Q441" s="580"/>
    </row>
    <row r="442" spans="1:17">
      <c r="A442" s="214" t="s">
        <v>287</v>
      </c>
      <c r="B442" s="215"/>
      <c r="C442" s="215"/>
      <c r="D442" s="216"/>
      <c r="E442" s="21">
        <v>455</v>
      </c>
      <c r="F442" s="25"/>
      <c r="G442" s="224">
        <f>+TB!E180</f>
        <v>24361059.779999994</v>
      </c>
      <c r="H442" s="217"/>
      <c r="I442" s="226"/>
      <c r="J442" s="204">
        <v>0</v>
      </c>
      <c r="K442" s="204"/>
      <c r="L442" s="204">
        <f>+J442+O442-N442</f>
        <v>0</v>
      </c>
      <c r="M442" s="215"/>
      <c r="N442" s="204"/>
      <c r="O442" s="204"/>
    </row>
    <row r="443" spans="1:17">
      <c r="A443" s="214"/>
      <c r="B443" s="350" t="s">
        <v>1099</v>
      </c>
      <c r="C443" s="215"/>
      <c r="D443" s="216"/>
      <c r="E443" s="21"/>
      <c r="F443" s="573" t="s">
        <v>128</v>
      </c>
      <c r="G443" s="224"/>
      <c r="H443" s="217"/>
      <c r="I443" s="226"/>
      <c r="J443" s="204"/>
      <c r="K443" s="204"/>
      <c r="L443" s="204"/>
      <c r="M443" s="215"/>
      <c r="N443" s="204"/>
      <c r="O443" s="204"/>
    </row>
    <row r="444" spans="1:17" hidden="1">
      <c r="A444" s="214"/>
      <c r="B444" s="215" t="s">
        <v>294</v>
      </c>
      <c r="C444" s="215"/>
      <c r="D444" s="216"/>
      <c r="E444" s="23"/>
      <c r="F444" s="361" t="s">
        <v>128</v>
      </c>
      <c r="G444" s="545"/>
      <c r="H444" s="213">
        <f t="shared" ref="H444:H458" si="44">+L444</f>
        <v>0</v>
      </c>
      <c r="I444" s="215"/>
      <c r="J444" s="204">
        <v>0</v>
      </c>
      <c r="K444" s="204"/>
      <c r="L444" s="204">
        <f>+J444+O444-N444</f>
        <v>0</v>
      </c>
      <c r="M444" s="215"/>
      <c r="N444" s="204"/>
      <c r="O444" s="204"/>
    </row>
    <row r="445" spans="1:17">
      <c r="A445" s="214"/>
      <c r="B445" s="105" t="s">
        <v>451</v>
      </c>
      <c r="C445" s="215"/>
      <c r="D445" s="216"/>
      <c r="E445" s="23"/>
      <c r="F445" s="361" t="s">
        <v>129</v>
      </c>
      <c r="G445" s="545"/>
      <c r="H445" s="213">
        <f t="shared" si="44"/>
        <v>205949.51000000004</v>
      </c>
      <c r="I445" s="215"/>
      <c r="J445" s="204">
        <v>202129.76000000004</v>
      </c>
      <c r="K445" s="204"/>
      <c r="L445" s="204">
        <f>+J445+O445-N445</f>
        <v>205949.51000000004</v>
      </c>
      <c r="M445" s="215"/>
      <c r="N445" s="204">
        <v>0</v>
      </c>
      <c r="O445" s="204">
        <v>3819.75</v>
      </c>
      <c r="Q445" s="16"/>
    </row>
    <row r="446" spans="1:17">
      <c r="A446" s="214"/>
      <c r="B446" s="105" t="s">
        <v>404</v>
      </c>
      <c r="C446" s="215"/>
      <c r="D446" s="216"/>
      <c r="E446" s="23"/>
      <c r="F446" s="361" t="s">
        <v>132</v>
      </c>
      <c r="G446" s="545"/>
      <c r="H446" s="213">
        <f t="shared" si="44"/>
        <v>52831.93</v>
      </c>
      <c r="I446" s="215"/>
      <c r="J446" s="204">
        <v>52390.87</v>
      </c>
      <c r="K446" s="204"/>
      <c r="L446" s="204">
        <f>+J446+O446-N446</f>
        <v>52831.93</v>
      </c>
      <c r="M446" s="215"/>
      <c r="N446" s="204">
        <v>0</v>
      </c>
      <c r="O446" s="204">
        <v>441.06</v>
      </c>
    </row>
    <row r="447" spans="1:17">
      <c r="A447" s="214"/>
      <c r="B447" s="105" t="s">
        <v>926</v>
      </c>
      <c r="C447" s="215"/>
      <c r="D447" s="216"/>
      <c r="E447" s="23"/>
      <c r="F447" s="361" t="s">
        <v>133</v>
      </c>
      <c r="G447" s="545"/>
      <c r="H447" s="213">
        <f t="shared" si="44"/>
        <v>8247.44</v>
      </c>
      <c r="I447" s="215"/>
      <c r="J447" s="204">
        <v>8051.26</v>
      </c>
      <c r="K447" s="204"/>
      <c r="L447" s="204">
        <f t="shared" ref="L447:L458" si="45">+J447+O447-N447</f>
        <v>8247.44</v>
      </c>
      <c r="M447" s="215"/>
      <c r="N447" s="204">
        <v>0</v>
      </c>
      <c r="O447" s="204">
        <v>196.18</v>
      </c>
    </row>
    <row r="448" spans="1:17">
      <c r="A448" s="214"/>
      <c r="B448" s="105" t="s">
        <v>927</v>
      </c>
      <c r="C448" s="215"/>
      <c r="D448" s="216"/>
      <c r="E448" s="23"/>
      <c r="F448" s="361" t="s">
        <v>134</v>
      </c>
      <c r="G448" s="545"/>
      <c r="H448" s="213">
        <f t="shared" si="44"/>
        <v>866.71999999999991</v>
      </c>
      <c r="I448" s="105"/>
      <c r="J448" s="204">
        <v>866.71999999999991</v>
      </c>
      <c r="K448" s="204"/>
      <c r="L448" s="204">
        <f t="shared" si="45"/>
        <v>866.71999999999991</v>
      </c>
      <c r="M448" s="215"/>
      <c r="N448" s="204"/>
      <c r="O448" s="204"/>
    </row>
    <row r="449" spans="1:15">
      <c r="A449" s="214"/>
      <c r="B449" s="105" t="s">
        <v>928</v>
      </c>
      <c r="C449" s="215"/>
      <c r="D449" s="216"/>
      <c r="E449" s="23"/>
      <c r="F449" s="361" t="s">
        <v>135</v>
      </c>
      <c r="G449" s="545"/>
      <c r="H449" s="213">
        <f t="shared" si="44"/>
        <v>444.64000000000004</v>
      </c>
      <c r="I449" s="215"/>
      <c r="J449" s="204">
        <v>444.64000000000004</v>
      </c>
      <c r="K449" s="204"/>
      <c r="L449" s="204">
        <f t="shared" si="45"/>
        <v>444.64000000000004</v>
      </c>
      <c r="M449" s="215"/>
      <c r="N449" s="204"/>
      <c r="O449" s="204"/>
    </row>
    <row r="450" spans="1:15">
      <c r="A450" s="214"/>
      <c r="B450" s="105" t="s">
        <v>929</v>
      </c>
      <c r="C450" s="215"/>
      <c r="D450" s="216"/>
      <c r="E450" s="23"/>
      <c r="F450" s="361" t="s">
        <v>130</v>
      </c>
      <c r="G450" s="545"/>
      <c r="H450" s="213">
        <f t="shared" si="44"/>
        <v>72.83</v>
      </c>
      <c r="I450" s="215"/>
      <c r="J450" s="204">
        <v>72.83</v>
      </c>
      <c r="K450" s="204"/>
      <c r="L450" s="204">
        <f t="shared" si="45"/>
        <v>72.83</v>
      </c>
      <c r="M450" s="215"/>
      <c r="N450" s="204"/>
      <c r="O450" s="204"/>
    </row>
    <row r="451" spans="1:15">
      <c r="A451" s="214"/>
      <c r="B451" s="105" t="s">
        <v>930</v>
      </c>
      <c r="C451" s="215"/>
      <c r="D451" s="216"/>
      <c r="E451" s="23"/>
      <c r="F451" s="361" t="s">
        <v>136</v>
      </c>
      <c r="G451" s="545"/>
      <c r="H451" s="213">
        <f t="shared" si="44"/>
        <v>72.83</v>
      </c>
      <c r="I451" s="215"/>
      <c r="J451" s="204">
        <v>72.83</v>
      </c>
      <c r="K451" s="204"/>
      <c r="L451" s="204">
        <f t="shared" si="45"/>
        <v>72.83</v>
      </c>
      <c r="M451" s="215"/>
      <c r="N451" s="204"/>
      <c r="O451" s="204"/>
    </row>
    <row r="452" spans="1:15">
      <c r="A452" s="214"/>
      <c r="B452" s="105" t="s">
        <v>931</v>
      </c>
      <c r="C452" s="215"/>
      <c r="D452" s="216"/>
      <c r="E452" s="23"/>
      <c r="F452" s="361" t="s">
        <v>137</v>
      </c>
      <c r="G452" s="545"/>
      <c r="H452" s="213">
        <f t="shared" si="44"/>
        <v>72.83</v>
      </c>
      <c r="I452" s="215"/>
      <c r="J452" s="204">
        <v>72.83</v>
      </c>
      <c r="K452" s="204"/>
      <c r="L452" s="204">
        <f t="shared" si="45"/>
        <v>72.83</v>
      </c>
      <c r="M452" s="215"/>
      <c r="N452" s="204"/>
      <c r="O452" s="204"/>
    </row>
    <row r="453" spans="1:15">
      <c r="A453" s="214"/>
      <c r="B453" s="105" t="s">
        <v>932</v>
      </c>
      <c r="C453" s="215"/>
      <c r="D453" s="216"/>
      <c r="E453" s="23"/>
      <c r="F453" s="361" t="s">
        <v>138</v>
      </c>
      <c r="G453" s="545"/>
      <c r="H453" s="213">
        <f t="shared" si="44"/>
        <v>61.39</v>
      </c>
      <c r="I453" s="215"/>
      <c r="J453" s="204">
        <v>61.39</v>
      </c>
      <c r="K453" s="204"/>
      <c r="L453" s="204">
        <f t="shared" si="45"/>
        <v>61.39</v>
      </c>
      <c r="M453" s="215"/>
      <c r="N453" s="204"/>
      <c r="O453" s="204"/>
    </row>
    <row r="454" spans="1:15">
      <c r="A454" s="214"/>
      <c r="B454" s="105" t="s">
        <v>933</v>
      </c>
      <c r="C454" s="215"/>
      <c r="D454" s="216"/>
      <c r="E454" s="23"/>
      <c r="F454" s="361" t="s">
        <v>139</v>
      </c>
      <c r="G454" s="545"/>
      <c r="H454" s="213">
        <f t="shared" si="44"/>
        <v>54.39</v>
      </c>
      <c r="I454" s="215"/>
      <c r="J454" s="204">
        <v>54.39</v>
      </c>
      <c r="K454" s="204"/>
      <c r="L454" s="204">
        <f t="shared" si="45"/>
        <v>54.39</v>
      </c>
      <c r="M454" s="215"/>
      <c r="N454" s="204"/>
      <c r="O454" s="204"/>
    </row>
    <row r="455" spans="1:15">
      <c r="A455" s="214"/>
      <c r="B455" s="105" t="s">
        <v>1134</v>
      </c>
      <c r="C455" s="215"/>
      <c r="D455" s="216"/>
      <c r="E455" s="23"/>
      <c r="F455" s="361" t="s">
        <v>140</v>
      </c>
      <c r="G455" s="545"/>
      <c r="H455" s="213">
        <f t="shared" si="44"/>
        <v>531.45000000000005</v>
      </c>
      <c r="I455" s="215"/>
      <c r="J455" s="204">
        <v>531.45000000000005</v>
      </c>
      <c r="K455" s="204"/>
      <c r="L455" s="204">
        <f t="shared" si="45"/>
        <v>531.45000000000005</v>
      </c>
      <c r="M455" s="215"/>
      <c r="N455" s="204"/>
      <c r="O455" s="204"/>
    </row>
    <row r="456" spans="1:15">
      <c r="A456" s="214"/>
      <c r="B456" s="105" t="s">
        <v>1135</v>
      </c>
      <c r="C456" s="215"/>
      <c r="D456" s="216"/>
      <c r="E456" s="23"/>
      <c r="F456" s="361" t="s">
        <v>141</v>
      </c>
      <c r="G456" s="545"/>
      <c r="H456" s="213">
        <f t="shared" si="44"/>
        <v>361.89</v>
      </c>
      <c r="I456" s="215"/>
      <c r="J456" s="204">
        <v>361.89</v>
      </c>
      <c r="K456" s="204"/>
      <c r="L456" s="204">
        <f t="shared" si="45"/>
        <v>361.89</v>
      </c>
      <c r="M456" s="215"/>
      <c r="N456" s="204"/>
      <c r="O456" s="204"/>
    </row>
    <row r="457" spans="1:15">
      <c r="A457" s="214"/>
      <c r="B457" s="105" t="s">
        <v>925</v>
      </c>
      <c r="C457" s="215"/>
      <c r="D457" s="216"/>
      <c r="E457" s="23"/>
      <c r="F457" s="573" t="s">
        <v>129</v>
      </c>
      <c r="G457" s="545"/>
      <c r="H457" s="213">
        <f t="shared" si="44"/>
        <v>24091431.98</v>
      </c>
      <c r="I457" s="215"/>
      <c r="J457" s="204">
        <v>24091431.98</v>
      </c>
      <c r="K457" s="204"/>
      <c r="L457" s="204">
        <f t="shared" si="45"/>
        <v>24091431.98</v>
      </c>
      <c r="M457" s="215"/>
      <c r="N457" s="204"/>
      <c r="O457" s="204"/>
    </row>
    <row r="458" spans="1:15">
      <c r="A458" s="214"/>
      <c r="B458" s="105" t="s">
        <v>936</v>
      </c>
      <c r="C458" s="215"/>
      <c r="D458" s="216"/>
      <c r="E458" s="23"/>
      <c r="F458" s="573" t="s">
        <v>132</v>
      </c>
      <c r="G458" s="545"/>
      <c r="H458" s="213">
        <f t="shared" si="44"/>
        <v>59.95</v>
      </c>
      <c r="I458" s="226"/>
      <c r="J458" s="204">
        <v>59.95</v>
      </c>
      <c r="K458" s="204"/>
      <c r="L458" s="204">
        <f t="shared" si="45"/>
        <v>59.95</v>
      </c>
      <c r="M458" s="215"/>
      <c r="N458" s="204"/>
      <c r="O458" s="204"/>
    </row>
    <row r="459" spans="1:15">
      <c r="A459" s="214"/>
      <c r="B459" s="215"/>
      <c r="C459" s="215"/>
      <c r="D459" s="216"/>
      <c r="E459" s="23"/>
      <c r="F459" s="25"/>
      <c r="G459" s="545"/>
      <c r="H459" s="225">
        <f>SUM(H444:H458)</f>
        <v>24361059.780000001</v>
      </c>
      <c r="I459" s="204">
        <f>+G442-H459</f>
        <v>0</v>
      </c>
      <c r="J459" s="204">
        <v>0</v>
      </c>
      <c r="K459" s="204"/>
      <c r="L459" s="204">
        <f>+J459+N459-O459</f>
        <v>0</v>
      </c>
      <c r="M459" s="215"/>
      <c r="N459" s="204"/>
      <c r="O459" s="204"/>
    </row>
    <row r="460" spans="1:15">
      <c r="A460" s="214"/>
      <c r="B460" s="215"/>
      <c r="C460" s="215"/>
      <c r="D460" s="216"/>
      <c r="E460" s="23"/>
      <c r="F460" s="25"/>
      <c r="G460" s="545"/>
      <c r="H460" s="217"/>
      <c r="I460" s="226"/>
      <c r="J460" s="204"/>
      <c r="K460" s="204"/>
      <c r="L460" s="204"/>
      <c r="M460" s="215"/>
      <c r="N460" s="204"/>
      <c r="O460" s="204"/>
    </row>
    <row r="461" spans="1:15" ht="14.25">
      <c r="A461" s="214" t="s">
        <v>48</v>
      </c>
      <c r="B461" s="215"/>
      <c r="C461" s="215"/>
      <c r="D461" s="215"/>
      <c r="E461" s="23">
        <v>501</v>
      </c>
      <c r="F461" s="25"/>
      <c r="G461" s="545">
        <f>+TB!E181</f>
        <v>143862384.54999998</v>
      </c>
      <c r="H461" s="671">
        <f>+L461</f>
        <v>143862384.55000001</v>
      </c>
      <c r="I461" s="226">
        <f>+G461-H461</f>
        <v>0</v>
      </c>
      <c r="J461" s="204">
        <v>143862384.55000001</v>
      </c>
      <c r="K461" s="204"/>
      <c r="L461" s="204">
        <f>+J461+O461-N461</f>
        <v>143862384.55000001</v>
      </c>
      <c r="M461" s="215"/>
      <c r="N461" s="226"/>
      <c r="O461" s="168"/>
    </row>
    <row r="462" spans="1:15">
      <c r="A462" s="459"/>
      <c r="B462" s="13"/>
      <c r="C462" s="13"/>
      <c r="D462" s="13"/>
      <c r="E462" s="474"/>
      <c r="F462" s="474"/>
      <c r="G462" s="13"/>
      <c r="H462" s="474"/>
    </row>
    <row r="463" spans="1:15" s="215" customFormat="1" ht="14.25">
      <c r="A463" s="214"/>
      <c r="D463" s="216"/>
      <c r="E463" s="23"/>
      <c r="F463" s="25"/>
      <c r="G463" s="545"/>
      <c r="H463" s="213"/>
      <c r="I463" s="226"/>
      <c r="J463" s="204"/>
      <c r="K463" s="204"/>
      <c r="L463" s="204"/>
      <c r="N463" s="226"/>
      <c r="O463" s="168"/>
    </row>
    <row r="464" spans="1:15" s="215" customFormat="1">
      <c r="A464" s="214" t="s">
        <v>94</v>
      </c>
      <c r="D464" s="216"/>
      <c r="E464" s="23">
        <v>591</v>
      </c>
      <c r="F464" s="25"/>
      <c r="G464" s="224">
        <f>+TB!E195</f>
        <v>59435649.75</v>
      </c>
      <c r="H464" s="213">
        <f>+L464</f>
        <v>59435649.750000007</v>
      </c>
      <c r="I464" s="226">
        <f>+G464-H464</f>
        <v>0</v>
      </c>
      <c r="J464" s="204">
        <v>56596712.500000007</v>
      </c>
      <c r="K464" s="204"/>
      <c r="L464" s="204">
        <f>+J464+O464-N464</f>
        <v>59435649.750000007</v>
      </c>
      <c r="N464" s="368">
        <v>0</v>
      </c>
      <c r="O464" s="368">
        <v>2838937.25</v>
      </c>
    </row>
    <row r="465" spans="1:16" s="215" customFormat="1">
      <c r="A465" s="214" t="s">
        <v>169</v>
      </c>
      <c r="D465" s="216"/>
      <c r="E465" s="23">
        <v>599</v>
      </c>
      <c r="F465" s="25"/>
      <c r="G465" s="224">
        <f>+TB!E199</f>
        <v>5061586.9200000009</v>
      </c>
      <c r="H465" s="213">
        <f>+L465</f>
        <v>5061586.9200000009</v>
      </c>
      <c r="I465" s="226">
        <f>+G465-H465</f>
        <v>0</v>
      </c>
      <c r="J465" s="204">
        <v>4772639.5000000009</v>
      </c>
      <c r="K465" s="204"/>
      <c r="L465" s="204">
        <f>+J465+O465-N465</f>
        <v>5061586.9200000009</v>
      </c>
      <c r="N465" s="204">
        <v>801.69</v>
      </c>
      <c r="O465" s="204">
        <v>289749.11</v>
      </c>
    </row>
    <row r="466" spans="1:16" s="215" customFormat="1" hidden="1">
      <c r="A466" s="214" t="s">
        <v>439</v>
      </c>
      <c r="D466" s="216"/>
      <c r="E466" s="23">
        <v>662</v>
      </c>
      <c r="F466" s="25"/>
      <c r="G466" s="224">
        <f>+TB!E242</f>
        <v>0</v>
      </c>
      <c r="H466" s="213">
        <f>+L466</f>
        <v>0</v>
      </c>
      <c r="I466" s="226">
        <f>+G466-H466</f>
        <v>0</v>
      </c>
      <c r="J466" s="204">
        <v>0</v>
      </c>
      <c r="K466" s="204"/>
      <c r="L466" s="204">
        <f>+J466+O466-N466</f>
        <v>0</v>
      </c>
      <c r="N466" s="204"/>
      <c r="O466" s="204"/>
    </row>
    <row r="467" spans="1:16" s="215" customFormat="1" ht="14.25">
      <c r="A467" s="214" t="s">
        <v>49</v>
      </c>
      <c r="D467" s="216"/>
      <c r="E467" s="23">
        <v>664</v>
      </c>
      <c r="F467" s="25"/>
      <c r="G467" s="224">
        <f>+TB!E244</f>
        <v>1089432.8700000001</v>
      </c>
      <c r="H467" s="213">
        <f>+L467</f>
        <v>1089432.8700000001</v>
      </c>
      <c r="I467" s="226">
        <f>+G467-H467</f>
        <v>0</v>
      </c>
      <c r="J467" s="204">
        <v>983589.41000000015</v>
      </c>
      <c r="K467" s="204"/>
      <c r="L467" s="204">
        <f>+J467+O467-N467</f>
        <v>1089432.8700000001</v>
      </c>
      <c r="N467" s="168">
        <v>0</v>
      </c>
      <c r="O467" s="168">
        <v>105843.46</v>
      </c>
    </row>
    <row r="468" spans="1:16" s="215" customFormat="1" ht="14.25">
      <c r="A468" s="214" t="s">
        <v>279</v>
      </c>
      <c r="D468" s="216"/>
      <c r="E468" s="23">
        <v>678</v>
      </c>
      <c r="F468" s="25"/>
      <c r="G468" s="224">
        <f>+TB!E252</f>
        <v>313.64</v>
      </c>
      <c r="H468" s="213"/>
      <c r="I468" s="226"/>
      <c r="J468" s="204"/>
      <c r="K468" s="204"/>
      <c r="L468" s="204"/>
      <c r="N468" s="204"/>
      <c r="O468" s="168"/>
    </row>
    <row r="469" spans="1:16" s="215" customFormat="1" ht="14.25">
      <c r="A469" s="214"/>
      <c r="B469" s="215" t="s">
        <v>357</v>
      </c>
      <c r="D469" s="216"/>
      <c r="E469" s="23"/>
      <c r="F469" s="361" t="s">
        <v>128</v>
      </c>
      <c r="G469" s="224"/>
      <c r="H469" s="213">
        <f>+L469</f>
        <v>313.64</v>
      </c>
      <c r="I469" s="226"/>
      <c r="J469" s="204">
        <v>311.56</v>
      </c>
      <c r="K469" s="204"/>
      <c r="L469" s="204">
        <f>+J469+O469-N469</f>
        <v>313.64</v>
      </c>
      <c r="N469" s="168">
        <v>0</v>
      </c>
      <c r="O469" s="168">
        <v>2.0799999999999996</v>
      </c>
    </row>
    <row r="470" spans="1:16" s="215" customFormat="1" ht="14.25">
      <c r="A470" s="214"/>
      <c r="D470" s="216"/>
      <c r="E470" s="23"/>
      <c r="F470" s="25"/>
      <c r="G470" s="224"/>
      <c r="H470" s="220">
        <f>SUM(H469:H469)</f>
        <v>313.64</v>
      </c>
      <c r="I470" s="226">
        <f>+G468-H470</f>
        <v>0</v>
      </c>
      <c r="J470" s="204">
        <v>0</v>
      </c>
      <c r="K470" s="204"/>
      <c r="L470" s="204">
        <f>+J470+O470-N470</f>
        <v>0</v>
      </c>
      <c r="N470" s="204"/>
      <c r="O470" s="168"/>
    </row>
    <row r="471" spans="1:16" s="215" customFormat="1" ht="14.25">
      <c r="A471" s="214"/>
      <c r="D471" s="216"/>
      <c r="E471" s="23"/>
      <c r="F471" s="25"/>
      <c r="G471" s="224"/>
      <c r="H471" s="213"/>
      <c r="I471" s="226"/>
      <c r="J471" s="204"/>
      <c r="K471" s="204"/>
      <c r="L471" s="204"/>
      <c r="N471" s="204"/>
      <c r="O471" s="168"/>
    </row>
    <row r="472" spans="1:16" s="215" customFormat="1">
      <c r="A472" s="214" t="s">
        <v>249</v>
      </c>
      <c r="D472" s="216"/>
      <c r="E472" s="23">
        <v>684</v>
      </c>
      <c r="F472" s="25"/>
      <c r="G472" s="224">
        <f>+TB!E256</f>
        <v>9865799.1899999995</v>
      </c>
      <c r="H472" s="213">
        <f>+L472</f>
        <v>9865799.1899999995</v>
      </c>
      <c r="I472" s="226">
        <f>+G472-H472</f>
        <v>0</v>
      </c>
      <c r="J472" s="204">
        <v>9515662.6099999994</v>
      </c>
      <c r="K472" s="204"/>
      <c r="L472" s="204">
        <f>+J472+O472-N472</f>
        <v>9865799.1899999995</v>
      </c>
      <c r="N472" s="204">
        <v>2109.65</v>
      </c>
      <c r="O472" s="204">
        <v>352246.22999999992</v>
      </c>
      <c r="P472" s="226"/>
    </row>
    <row r="473" spans="1:16" s="215" customFormat="1" ht="14.25">
      <c r="A473" s="214" t="s">
        <v>95</v>
      </c>
      <c r="E473" s="23">
        <v>701</v>
      </c>
      <c r="F473" s="222"/>
      <c r="G473" s="224">
        <f>+TB!C257</f>
        <v>19334638.449999999</v>
      </c>
      <c r="H473" s="213">
        <f>+L473</f>
        <v>19334638.449999999</v>
      </c>
      <c r="I473" s="226">
        <f>+G473-H473</f>
        <v>0</v>
      </c>
      <c r="J473" s="204">
        <v>16932283.359999999</v>
      </c>
      <c r="K473" s="204"/>
      <c r="L473" s="204">
        <f>+J473+N473-O473</f>
        <v>19334638.449999999</v>
      </c>
      <c r="N473" s="168">
        <v>2402355.09</v>
      </c>
      <c r="O473" s="168">
        <v>0</v>
      </c>
      <c r="P473" s="226"/>
    </row>
    <row r="474" spans="1:16" s="215" customFormat="1">
      <c r="A474" s="238" t="s">
        <v>51</v>
      </c>
      <c r="B474" s="231"/>
      <c r="C474" s="231"/>
      <c r="D474" s="231"/>
      <c r="E474" s="126">
        <v>705</v>
      </c>
      <c r="F474" s="670"/>
      <c r="G474" s="675">
        <f>+TB!C261</f>
        <v>1461425.6300000001</v>
      </c>
      <c r="H474" s="232">
        <f>+L474</f>
        <v>1461425.6300000001</v>
      </c>
      <c r="I474" s="226">
        <f>+G474-H474</f>
        <v>0</v>
      </c>
      <c r="J474" s="204">
        <v>1303984.1700000002</v>
      </c>
      <c r="K474" s="204"/>
      <c r="L474" s="204">
        <f>+J474+N474-O474</f>
        <v>1461425.6300000001</v>
      </c>
      <c r="N474" s="204">
        <v>157441.46</v>
      </c>
      <c r="O474" s="204">
        <v>0</v>
      </c>
      <c r="P474" s="226"/>
    </row>
    <row r="475" spans="1:16" s="215" customFormat="1">
      <c r="A475" s="214" t="s">
        <v>52</v>
      </c>
      <c r="E475" s="23">
        <v>711</v>
      </c>
      <c r="F475" s="222"/>
      <c r="G475" s="224">
        <f>+TB!C264</f>
        <v>2560146.62</v>
      </c>
      <c r="H475" s="213">
        <f>+L475</f>
        <v>2560146.62</v>
      </c>
      <c r="I475" s="204">
        <f>+G475-H475</f>
        <v>0</v>
      </c>
      <c r="J475" s="204">
        <v>2247958.52</v>
      </c>
      <c r="K475" s="204"/>
      <c r="L475" s="204">
        <f>+J475+N475-O475</f>
        <v>2560146.62</v>
      </c>
      <c r="N475" s="204">
        <v>312188.09999999998</v>
      </c>
      <c r="O475" s="204">
        <v>0</v>
      </c>
      <c r="P475" s="235"/>
    </row>
    <row r="476" spans="1:16" s="215" customFormat="1" hidden="1">
      <c r="A476" s="214" t="s">
        <v>53</v>
      </c>
      <c r="E476" s="23">
        <v>712</v>
      </c>
      <c r="F476" s="222"/>
      <c r="G476" s="224">
        <f>+TB!C265</f>
        <v>0</v>
      </c>
      <c r="H476" s="213">
        <f>+L476</f>
        <v>0</v>
      </c>
      <c r="I476" s="204">
        <f>+G476-H476</f>
        <v>0</v>
      </c>
      <c r="J476" s="204">
        <v>0</v>
      </c>
      <c r="K476" s="204"/>
      <c r="L476" s="204">
        <f>+J476+N476-O476</f>
        <v>0</v>
      </c>
      <c r="N476" s="204"/>
      <c r="O476" s="204"/>
      <c r="P476" s="226"/>
    </row>
    <row r="477" spans="1:16" s="215" customFormat="1" hidden="1">
      <c r="A477" s="214" t="s">
        <v>54</v>
      </c>
      <c r="E477" s="23">
        <v>714</v>
      </c>
      <c r="F477" s="222"/>
      <c r="G477" s="224">
        <f>+TB!C267</f>
        <v>0</v>
      </c>
      <c r="H477" s="213"/>
      <c r="I477" s="226"/>
      <c r="J477" s="204"/>
      <c r="K477" s="204"/>
      <c r="L477" s="204"/>
      <c r="N477" s="204"/>
      <c r="O477" s="204"/>
    </row>
    <row r="478" spans="1:16" s="215" customFormat="1">
      <c r="A478" s="214" t="s">
        <v>55</v>
      </c>
      <c r="E478" s="23">
        <v>715</v>
      </c>
      <c r="F478" s="222"/>
      <c r="G478" s="224">
        <f>+TB!C268</f>
        <v>652000</v>
      </c>
      <c r="H478" s="213">
        <f t="shared" ref="H478:H520" si="46">+L478</f>
        <v>652000</v>
      </c>
      <c r="I478" s="226">
        <f t="shared" ref="I478:I503" si="47">+G478-H478</f>
        <v>0</v>
      </c>
      <c r="J478" s="204">
        <v>652000</v>
      </c>
      <c r="K478" s="204"/>
      <c r="L478" s="204">
        <f t="shared" ref="L478:L509" si="48">+J478+N478-O478</f>
        <v>652000</v>
      </c>
      <c r="N478" s="204"/>
      <c r="O478" s="204"/>
    </row>
    <row r="479" spans="1:16" s="215" customFormat="1">
      <c r="A479" s="214" t="s">
        <v>56</v>
      </c>
      <c r="E479" s="23">
        <v>717</v>
      </c>
      <c r="F479" s="222"/>
      <c r="G479" s="224">
        <f>+TB!C270</f>
        <v>22000</v>
      </c>
      <c r="H479" s="213">
        <f t="shared" si="46"/>
        <v>22000</v>
      </c>
      <c r="I479" s="226">
        <f t="shared" si="47"/>
        <v>0</v>
      </c>
      <c r="J479" s="204">
        <v>22000</v>
      </c>
      <c r="K479" s="204"/>
      <c r="L479" s="204">
        <f t="shared" si="48"/>
        <v>22000</v>
      </c>
      <c r="N479" s="204"/>
      <c r="O479" s="204"/>
    </row>
    <row r="480" spans="1:16" s="215" customFormat="1" hidden="1">
      <c r="A480" s="214" t="s">
        <v>96</v>
      </c>
      <c r="E480" s="23">
        <v>719</v>
      </c>
      <c r="F480" s="222"/>
      <c r="G480" s="224">
        <f>+TB!C271</f>
        <v>0</v>
      </c>
      <c r="H480" s="213">
        <f t="shared" si="46"/>
        <v>0</v>
      </c>
      <c r="I480" s="226">
        <f t="shared" si="47"/>
        <v>0</v>
      </c>
      <c r="J480" s="204">
        <v>0</v>
      </c>
      <c r="K480" s="204"/>
      <c r="L480" s="204">
        <f t="shared" si="48"/>
        <v>0</v>
      </c>
      <c r="N480" s="204"/>
      <c r="O480" s="204"/>
    </row>
    <row r="481" spans="1:16" s="215" customFormat="1">
      <c r="A481" s="214" t="s">
        <v>57</v>
      </c>
      <c r="E481" s="23">
        <v>720</v>
      </c>
      <c r="F481" s="222"/>
      <c r="G481" s="224">
        <f>+TB!C272</f>
        <v>584200</v>
      </c>
      <c r="H481" s="213">
        <f t="shared" si="46"/>
        <v>584200</v>
      </c>
      <c r="I481" s="226">
        <f t="shared" si="47"/>
        <v>0</v>
      </c>
      <c r="J481" s="204">
        <v>7000</v>
      </c>
      <c r="K481" s="204"/>
      <c r="L481" s="204">
        <f t="shared" si="48"/>
        <v>584200</v>
      </c>
      <c r="N481" s="204">
        <v>577200</v>
      </c>
      <c r="O481" s="204">
        <v>0</v>
      </c>
    </row>
    <row r="482" spans="1:16" s="215" customFormat="1" hidden="1">
      <c r="A482" s="214" t="s">
        <v>97</v>
      </c>
      <c r="E482" s="239">
        <v>721</v>
      </c>
      <c r="F482" s="222"/>
      <c r="G482" s="224">
        <f>+TB!C273</f>
        <v>0</v>
      </c>
      <c r="H482" s="213">
        <f t="shared" si="46"/>
        <v>0</v>
      </c>
      <c r="I482" s="226">
        <f t="shared" si="47"/>
        <v>0</v>
      </c>
      <c r="J482" s="204">
        <v>0</v>
      </c>
      <c r="K482" s="204"/>
      <c r="L482" s="204">
        <f t="shared" si="48"/>
        <v>0</v>
      </c>
      <c r="N482" s="204"/>
      <c r="O482" s="204"/>
    </row>
    <row r="483" spans="1:16" s="215" customFormat="1" hidden="1">
      <c r="A483" s="214" t="s">
        <v>58</v>
      </c>
      <c r="E483" s="239">
        <v>723</v>
      </c>
      <c r="F483" s="222"/>
      <c r="G483" s="224">
        <f>+TB!C275</f>
        <v>0</v>
      </c>
      <c r="H483" s="213">
        <f t="shared" si="46"/>
        <v>0</v>
      </c>
      <c r="I483" s="226">
        <f t="shared" si="47"/>
        <v>0</v>
      </c>
      <c r="J483" s="204">
        <v>0</v>
      </c>
      <c r="K483" s="204"/>
      <c r="L483" s="204">
        <f t="shared" si="48"/>
        <v>0</v>
      </c>
      <c r="N483" s="204"/>
      <c r="O483" s="204"/>
    </row>
    <row r="484" spans="1:16" s="215" customFormat="1">
      <c r="A484" s="214" t="s">
        <v>59</v>
      </c>
      <c r="E484" s="239">
        <v>724</v>
      </c>
      <c r="F484" s="222"/>
      <c r="G484" s="224">
        <f>+TB!C276</f>
        <v>400000</v>
      </c>
      <c r="H484" s="213">
        <f t="shared" si="46"/>
        <v>400000</v>
      </c>
      <c r="I484" s="226">
        <f t="shared" si="47"/>
        <v>0</v>
      </c>
      <c r="J484" s="204">
        <v>400000</v>
      </c>
      <c r="K484" s="204"/>
      <c r="L484" s="204">
        <f t="shared" si="48"/>
        <v>400000</v>
      </c>
      <c r="N484" s="204"/>
      <c r="O484" s="204"/>
    </row>
    <row r="485" spans="1:16" s="215" customFormat="1">
      <c r="A485" s="214" t="s">
        <v>60</v>
      </c>
      <c r="E485" s="239">
        <v>725</v>
      </c>
      <c r="F485" s="222"/>
      <c r="G485" s="224">
        <f>+TB!C277</f>
        <v>1314622.5</v>
      </c>
      <c r="H485" s="213">
        <f t="shared" si="46"/>
        <v>1314622.5</v>
      </c>
      <c r="I485" s="226">
        <f t="shared" si="47"/>
        <v>0</v>
      </c>
      <c r="J485" s="204">
        <v>1314622.5</v>
      </c>
      <c r="K485" s="204"/>
      <c r="L485" s="204">
        <f t="shared" si="48"/>
        <v>1314622.5</v>
      </c>
      <c r="N485" s="204"/>
      <c r="O485" s="204"/>
    </row>
    <row r="486" spans="1:16" s="215" customFormat="1">
      <c r="A486" s="214" t="s">
        <v>61</v>
      </c>
      <c r="E486" s="239">
        <v>731</v>
      </c>
      <c r="F486" s="222"/>
      <c r="G486" s="224">
        <f>+TB!C278</f>
        <v>2543914.15</v>
      </c>
      <c r="H486" s="213">
        <f t="shared" si="46"/>
        <v>2543914.15</v>
      </c>
      <c r="I486" s="226">
        <f t="shared" si="47"/>
        <v>0</v>
      </c>
      <c r="J486" s="204">
        <v>2235343.15</v>
      </c>
      <c r="K486" s="204"/>
      <c r="L486" s="204">
        <f t="shared" si="48"/>
        <v>2543914.15</v>
      </c>
      <c r="N486" s="204">
        <v>308571.00000000006</v>
      </c>
      <c r="O486" s="204">
        <v>0</v>
      </c>
      <c r="P486" s="235"/>
    </row>
    <row r="487" spans="1:16" s="215" customFormat="1">
      <c r="A487" s="214" t="s">
        <v>62</v>
      </c>
      <c r="E487" s="239">
        <v>732</v>
      </c>
      <c r="F487" s="222"/>
      <c r="G487" s="224">
        <f>+TB!C279</f>
        <v>130500</v>
      </c>
      <c r="H487" s="213">
        <f t="shared" si="46"/>
        <v>130500</v>
      </c>
      <c r="I487" s="226">
        <f t="shared" si="47"/>
        <v>0</v>
      </c>
      <c r="J487" s="204">
        <v>114800</v>
      </c>
      <c r="K487" s="204"/>
      <c r="L487" s="204">
        <f t="shared" si="48"/>
        <v>130500</v>
      </c>
      <c r="N487" s="204">
        <v>15700</v>
      </c>
      <c r="O487" s="204">
        <v>0</v>
      </c>
    </row>
    <row r="488" spans="1:16" s="215" customFormat="1">
      <c r="A488" s="214" t="s">
        <v>63</v>
      </c>
      <c r="E488" s="239">
        <v>733</v>
      </c>
      <c r="F488" s="222"/>
      <c r="G488" s="224">
        <f>+TB!C280</f>
        <v>262762.5</v>
      </c>
      <c r="H488" s="213">
        <f t="shared" si="46"/>
        <v>262762.5</v>
      </c>
      <c r="I488" s="226">
        <f t="shared" si="47"/>
        <v>0</v>
      </c>
      <c r="J488" s="204">
        <v>230900</v>
      </c>
      <c r="K488" s="204"/>
      <c r="L488" s="204">
        <f t="shared" si="48"/>
        <v>262762.5</v>
      </c>
      <c r="N488" s="204">
        <v>31862.5</v>
      </c>
      <c r="O488" s="204">
        <v>0</v>
      </c>
      <c r="P488" s="235"/>
    </row>
    <row r="489" spans="1:16" s="215" customFormat="1">
      <c r="A489" s="214" t="s">
        <v>64</v>
      </c>
      <c r="E489" s="239">
        <v>734</v>
      </c>
      <c r="F489" s="222"/>
      <c r="G489" s="224">
        <f>+TB!C281</f>
        <v>129970.53</v>
      </c>
      <c r="H489" s="213">
        <f t="shared" si="46"/>
        <v>129970.53</v>
      </c>
      <c r="I489" s="226">
        <f t="shared" si="47"/>
        <v>0</v>
      </c>
      <c r="J489" s="204">
        <v>114329.36</v>
      </c>
      <c r="K489" s="204"/>
      <c r="L489" s="204">
        <f t="shared" si="48"/>
        <v>129970.53</v>
      </c>
      <c r="N489" s="204">
        <v>15641.17</v>
      </c>
      <c r="O489" s="204">
        <v>0</v>
      </c>
    </row>
    <row r="490" spans="1:16" s="215" customFormat="1" hidden="1">
      <c r="A490" s="214" t="s">
        <v>65</v>
      </c>
      <c r="E490" s="239">
        <v>742</v>
      </c>
      <c r="F490" s="222"/>
      <c r="G490" s="224">
        <f>+TB!C284</f>
        <v>0</v>
      </c>
      <c r="H490" s="213">
        <f t="shared" si="46"/>
        <v>0</v>
      </c>
      <c r="I490" s="226">
        <f t="shared" si="47"/>
        <v>0</v>
      </c>
      <c r="J490" s="204">
        <v>0</v>
      </c>
      <c r="K490" s="204"/>
      <c r="L490" s="204">
        <f t="shared" si="48"/>
        <v>0</v>
      </c>
      <c r="N490" s="204"/>
      <c r="O490" s="204"/>
    </row>
    <row r="491" spans="1:16" s="215" customFormat="1" hidden="1">
      <c r="A491" s="214" t="s">
        <v>66</v>
      </c>
      <c r="E491" s="239">
        <v>749</v>
      </c>
      <c r="F491" s="222"/>
      <c r="G491" s="224">
        <f>+TB!C286</f>
        <v>0</v>
      </c>
      <c r="H491" s="213">
        <f t="shared" si="46"/>
        <v>0</v>
      </c>
      <c r="I491" s="226">
        <f t="shared" si="47"/>
        <v>0</v>
      </c>
      <c r="J491" s="204">
        <v>0</v>
      </c>
      <c r="K491" s="204"/>
      <c r="L491" s="204">
        <f t="shared" si="48"/>
        <v>0</v>
      </c>
      <c r="N491" s="204"/>
      <c r="O491" s="204"/>
    </row>
    <row r="492" spans="1:16" s="215" customFormat="1">
      <c r="A492" s="214" t="s">
        <v>213</v>
      </c>
      <c r="E492" s="239">
        <v>751</v>
      </c>
      <c r="F492" s="222"/>
      <c r="G492" s="224">
        <f>+TB!C287</f>
        <v>2961197.5</v>
      </c>
      <c r="H492" s="213">
        <f t="shared" si="46"/>
        <v>2961197.5</v>
      </c>
      <c r="I492" s="226">
        <f t="shared" si="47"/>
        <v>0</v>
      </c>
      <c r="J492" s="204">
        <v>425884.26</v>
      </c>
      <c r="K492" s="204"/>
      <c r="L492" s="204">
        <f t="shared" si="48"/>
        <v>2961197.5</v>
      </c>
      <c r="N492" s="204">
        <v>2535313.2400000002</v>
      </c>
      <c r="O492" s="204">
        <v>0</v>
      </c>
    </row>
    <row r="493" spans="1:16" s="215" customFormat="1" hidden="1">
      <c r="A493" s="214" t="s">
        <v>67</v>
      </c>
      <c r="E493" s="239">
        <v>752</v>
      </c>
      <c r="F493" s="222"/>
      <c r="G493" s="224">
        <f>+TB!C288</f>
        <v>0</v>
      </c>
      <c r="H493" s="213">
        <f t="shared" si="46"/>
        <v>0</v>
      </c>
      <c r="I493" s="226">
        <f t="shared" si="47"/>
        <v>0</v>
      </c>
      <c r="J493" s="204">
        <v>0</v>
      </c>
      <c r="K493" s="204"/>
      <c r="L493" s="204">
        <f t="shared" si="48"/>
        <v>0</v>
      </c>
      <c r="N493" s="204"/>
      <c r="O493" s="204"/>
    </row>
    <row r="494" spans="1:16" s="215" customFormat="1">
      <c r="A494" s="214" t="s">
        <v>68</v>
      </c>
      <c r="E494" s="239">
        <v>753</v>
      </c>
      <c r="F494" s="222"/>
      <c r="G494" s="224">
        <f>+TB!C289</f>
        <v>282900</v>
      </c>
      <c r="H494" s="213">
        <f t="shared" si="46"/>
        <v>282900</v>
      </c>
      <c r="I494" s="226">
        <f t="shared" si="47"/>
        <v>0</v>
      </c>
      <c r="J494" s="204">
        <v>40500</v>
      </c>
      <c r="K494" s="204"/>
      <c r="L494" s="204">
        <f t="shared" si="48"/>
        <v>282900</v>
      </c>
      <c r="N494" s="204">
        <v>242400</v>
      </c>
      <c r="O494" s="204">
        <v>0</v>
      </c>
    </row>
    <row r="495" spans="1:16" s="215" customFormat="1">
      <c r="A495" s="214" t="s">
        <v>215</v>
      </c>
      <c r="E495" s="239" t="s">
        <v>214</v>
      </c>
      <c r="F495" s="222"/>
      <c r="G495" s="224">
        <f>+TB!C291</f>
        <v>24379.5</v>
      </c>
      <c r="H495" s="213">
        <f t="shared" si="46"/>
        <v>24379.5</v>
      </c>
      <c r="I495" s="226">
        <f t="shared" si="47"/>
        <v>0</v>
      </c>
      <c r="J495" s="204">
        <v>0</v>
      </c>
      <c r="K495" s="204"/>
      <c r="L495" s="204">
        <f t="shared" si="48"/>
        <v>24379.5</v>
      </c>
      <c r="N495" s="204">
        <v>24379.5</v>
      </c>
      <c r="O495" s="204">
        <v>0</v>
      </c>
    </row>
    <row r="496" spans="1:16" s="215" customFormat="1">
      <c r="A496" s="214" t="s">
        <v>98</v>
      </c>
      <c r="E496" s="239">
        <v>758</v>
      </c>
      <c r="F496" s="222"/>
      <c r="G496" s="224">
        <f>+TB!C294</f>
        <v>1890099.9</v>
      </c>
      <c r="H496" s="213">
        <f t="shared" si="46"/>
        <v>1890099.9</v>
      </c>
      <c r="I496" s="226">
        <f t="shared" si="47"/>
        <v>0</v>
      </c>
      <c r="J496" s="204">
        <v>0</v>
      </c>
      <c r="K496" s="204"/>
      <c r="L496" s="204">
        <f t="shared" si="48"/>
        <v>1890099.9</v>
      </c>
      <c r="N496" s="204">
        <v>1890099.9</v>
      </c>
      <c r="O496" s="204">
        <v>0</v>
      </c>
    </row>
    <row r="497" spans="1:15" s="215" customFormat="1">
      <c r="A497" s="214" t="s">
        <v>270</v>
      </c>
      <c r="E497" s="239">
        <v>759</v>
      </c>
      <c r="F497" s="222"/>
      <c r="G497" s="224">
        <f>+TB!C295</f>
        <v>9771.5</v>
      </c>
      <c r="H497" s="213">
        <f t="shared" si="46"/>
        <v>9771.5</v>
      </c>
      <c r="I497" s="226">
        <f t="shared" si="47"/>
        <v>0</v>
      </c>
      <c r="J497" s="204">
        <v>9771.5</v>
      </c>
      <c r="K497" s="204"/>
      <c r="L497" s="204">
        <f t="shared" si="48"/>
        <v>9771.5</v>
      </c>
      <c r="N497" s="204"/>
      <c r="O497" s="204"/>
    </row>
    <row r="498" spans="1:15" s="215" customFormat="1" hidden="1">
      <c r="A498" s="214" t="s">
        <v>218</v>
      </c>
      <c r="E498" s="239">
        <v>760</v>
      </c>
      <c r="F498" s="222"/>
      <c r="G498" s="224">
        <f>+TB!C296</f>
        <v>0</v>
      </c>
      <c r="H498" s="213">
        <f t="shared" si="46"/>
        <v>0</v>
      </c>
      <c r="I498" s="226">
        <f t="shared" si="47"/>
        <v>0</v>
      </c>
      <c r="J498" s="204">
        <v>0</v>
      </c>
      <c r="K498" s="204"/>
      <c r="L498" s="204">
        <f t="shared" si="48"/>
        <v>0</v>
      </c>
      <c r="N498" s="204"/>
      <c r="O498" s="204"/>
    </row>
    <row r="499" spans="1:15" s="215" customFormat="1">
      <c r="A499" s="597" t="s">
        <v>69</v>
      </c>
      <c r="E499" s="239">
        <v>761</v>
      </c>
      <c r="F499" s="222"/>
      <c r="G499" s="224">
        <f>+TB!C297</f>
        <v>160787.89000000001</v>
      </c>
      <c r="H499" s="213">
        <f t="shared" si="46"/>
        <v>160787.89000000001</v>
      </c>
      <c r="I499" s="226">
        <f t="shared" si="47"/>
        <v>0</v>
      </c>
      <c r="J499" s="204">
        <v>160787.89000000001</v>
      </c>
      <c r="K499" s="204"/>
      <c r="L499" s="204">
        <f t="shared" si="48"/>
        <v>160787.89000000001</v>
      </c>
      <c r="N499" s="204"/>
      <c r="O499" s="204"/>
    </row>
    <row r="500" spans="1:15" s="215" customFormat="1" hidden="1">
      <c r="A500" s="597" t="s">
        <v>253</v>
      </c>
      <c r="E500" s="239">
        <v>763</v>
      </c>
      <c r="F500" s="222"/>
      <c r="G500" s="224">
        <f>+TB!C299</f>
        <v>0</v>
      </c>
      <c r="H500" s="213">
        <f t="shared" si="46"/>
        <v>0</v>
      </c>
      <c r="I500" s="226">
        <f t="shared" si="47"/>
        <v>0</v>
      </c>
      <c r="J500" s="204">
        <v>0</v>
      </c>
      <c r="K500" s="204"/>
      <c r="L500" s="204">
        <f t="shared" si="48"/>
        <v>0</v>
      </c>
      <c r="N500" s="204"/>
      <c r="O500" s="204"/>
    </row>
    <row r="501" spans="1:15" s="215" customFormat="1">
      <c r="A501" s="597" t="s">
        <v>269</v>
      </c>
      <c r="E501" s="239">
        <v>765</v>
      </c>
      <c r="F501" s="222"/>
      <c r="G501" s="224">
        <f>+TB!C301</f>
        <v>536442</v>
      </c>
      <c r="H501" s="213">
        <f t="shared" si="46"/>
        <v>536442</v>
      </c>
      <c r="I501" s="226">
        <f t="shared" si="47"/>
        <v>0</v>
      </c>
      <c r="J501" s="204">
        <v>536442</v>
      </c>
      <c r="K501" s="204"/>
      <c r="L501" s="204">
        <f t="shared" si="48"/>
        <v>536442</v>
      </c>
      <c r="N501" s="204"/>
      <c r="O501" s="204"/>
    </row>
    <row r="502" spans="1:15" s="215" customFormat="1" hidden="1">
      <c r="A502" s="597" t="s">
        <v>99</v>
      </c>
      <c r="E502" s="239">
        <v>766</v>
      </c>
      <c r="F502" s="222"/>
      <c r="G502" s="224">
        <f>+TB!C302</f>
        <v>0</v>
      </c>
      <c r="H502" s="213">
        <f t="shared" si="46"/>
        <v>0</v>
      </c>
      <c r="I502" s="226">
        <f t="shared" si="47"/>
        <v>0</v>
      </c>
      <c r="J502" s="204">
        <v>0</v>
      </c>
      <c r="K502" s="204"/>
      <c r="L502" s="204">
        <f t="shared" si="48"/>
        <v>0</v>
      </c>
      <c r="N502" s="204"/>
      <c r="O502" s="204"/>
    </row>
    <row r="503" spans="1:15" s="215" customFormat="1">
      <c r="A503" s="597" t="s">
        <v>100</v>
      </c>
      <c r="E503" s="239">
        <v>767</v>
      </c>
      <c r="F503" s="222"/>
      <c r="G503" s="224">
        <f>+TB!C303</f>
        <v>603259.9</v>
      </c>
      <c r="H503" s="213">
        <f t="shared" si="46"/>
        <v>603259.9</v>
      </c>
      <c r="I503" s="226">
        <f t="shared" si="47"/>
        <v>0</v>
      </c>
      <c r="J503" s="204">
        <v>524124.79</v>
      </c>
      <c r="K503" s="204"/>
      <c r="L503" s="204">
        <f t="shared" si="48"/>
        <v>603259.9</v>
      </c>
      <c r="N503" s="204">
        <v>79135.11</v>
      </c>
      <c r="O503" s="204">
        <v>0</v>
      </c>
    </row>
    <row r="504" spans="1:15" s="215" customFormat="1" hidden="1">
      <c r="A504" s="597" t="s">
        <v>101</v>
      </c>
      <c r="E504" s="239">
        <v>772</v>
      </c>
      <c r="F504" s="222"/>
      <c r="G504" s="224">
        <f>+TB!C306</f>
        <v>0</v>
      </c>
      <c r="H504" s="213">
        <f t="shared" si="46"/>
        <v>0</v>
      </c>
      <c r="I504" s="226"/>
      <c r="J504" s="204">
        <v>0</v>
      </c>
      <c r="K504" s="204"/>
      <c r="L504" s="204">
        <f t="shared" si="48"/>
        <v>0</v>
      </c>
      <c r="N504" s="204"/>
      <c r="O504" s="204"/>
    </row>
    <row r="505" spans="1:15" s="215" customFormat="1" hidden="1">
      <c r="A505" s="597" t="s">
        <v>271</v>
      </c>
      <c r="E505" s="239">
        <v>773</v>
      </c>
      <c r="F505" s="222"/>
      <c r="G505" s="224">
        <f>+TB!C307</f>
        <v>0</v>
      </c>
      <c r="H505" s="213">
        <f t="shared" si="46"/>
        <v>0</v>
      </c>
      <c r="I505" s="226">
        <f>+H505-G505</f>
        <v>0</v>
      </c>
      <c r="J505" s="204">
        <v>0</v>
      </c>
      <c r="K505" s="204"/>
      <c r="L505" s="204">
        <f t="shared" si="48"/>
        <v>0</v>
      </c>
      <c r="N505" s="204"/>
      <c r="O505" s="204"/>
    </row>
    <row r="506" spans="1:15" s="215" customFormat="1" hidden="1">
      <c r="A506" s="597" t="s">
        <v>286</v>
      </c>
      <c r="E506" s="239">
        <v>781</v>
      </c>
      <c r="F506" s="222"/>
      <c r="G506" s="224">
        <f>+TB!C313</f>
        <v>0</v>
      </c>
      <c r="H506" s="213">
        <f t="shared" si="46"/>
        <v>0</v>
      </c>
      <c r="I506" s="226">
        <f t="shared" ref="I506:I520" si="49">+G506-H506</f>
        <v>0</v>
      </c>
      <c r="J506" s="204">
        <v>0</v>
      </c>
      <c r="K506" s="204"/>
      <c r="L506" s="204">
        <f t="shared" si="48"/>
        <v>0</v>
      </c>
      <c r="N506" s="204"/>
      <c r="O506" s="204"/>
    </row>
    <row r="507" spans="1:15" s="215" customFormat="1">
      <c r="A507" s="597" t="s">
        <v>102</v>
      </c>
      <c r="E507" s="239">
        <v>782</v>
      </c>
      <c r="F507" s="222"/>
      <c r="G507" s="224">
        <f>+TB!C314</f>
        <v>70000</v>
      </c>
      <c r="H507" s="213">
        <f t="shared" si="46"/>
        <v>70000</v>
      </c>
      <c r="I507" s="226">
        <f t="shared" si="49"/>
        <v>0</v>
      </c>
      <c r="J507" s="204">
        <v>0</v>
      </c>
      <c r="K507" s="204"/>
      <c r="L507" s="204">
        <f t="shared" si="48"/>
        <v>70000</v>
      </c>
      <c r="N507" s="204">
        <v>70000</v>
      </c>
      <c r="O507" s="204">
        <v>0</v>
      </c>
    </row>
    <row r="508" spans="1:15" s="215" customFormat="1" hidden="1">
      <c r="A508" s="597" t="s">
        <v>254</v>
      </c>
      <c r="E508" s="239">
        <v>783</v>
      </c>
      <c r="F508" s="222"/>
      <c r="G508" s="224">
        <f>+TB!C315</f>
        <v>0</v>
      </c>
      <c r="H508" s="213">
        <f t="shared" si="46"/>
        <v>0</v>
      </c>
      <c r="I508" s="226">
        <f t="shared" si="49"/>
        <v>0</v>
      </c>
      <c r="J508" s="204">
        <v>0</v>
      </c>
      <c r="K508" s="204"/>
      <c r="L508" s="204">
        <f t="shared" si="48"/>
        <v>0</v>
      </c>
      <c r="N508" s="204"/>
      <c r="O508" s="204"/>
    </row>
    <row r="509" spans="1:15" s="215" customFormat="1">
      <c r="A509" s="597" t="s">
        <v>70</v>
      </c>
      <c r="E509" s="239">
        <v>799</v>
      </c>
      <c r="F509" s="222"/>
      <c r="G509" s="224">
        <f>+TB!C328</f>
        <v>2065761.1199999999</v>
      </c>
      <c r="H509" s="213">
        <f t="shared" si="46"/>
        <v>2065761.1199999999</v>
      </c>
      <c r="I509" s="226">
        <f t="shared" si="49"/>
        <v>0</v>
      </c>
      <c r="J509" s="204">
        <v>1867974.19</v>
      </c>
      <c r="K509" s="204"/>
      <c r="L509" s="204">
        <f t="shared" si="48"/>
        <v>2065761.1199999999</v>
      </c>
      <c r="N509" s="204">
        <v>197786.93</v>
      </c>
      <c r="O509" s="204">
        <v>0</v>
      </c>
    </row>
    <row r="510" spans="1:15" s="215" customFormat="1" hidden="1">
      <c r="A510" s="612" t="s">
        <v>272</v>
      </c>
      <c r="E510" s="239">
        <v>812</v>
      </c>
      <c r="F510" s="222"/>
      <c r="G510" s="224">
        <f>+TB!C332</f>
        <v>0</v>
      </c>
      <c r="H510" s="213">
        <f t="shared" si="46"/>
        <v>0</v>
      </c>
      <c r="I510" s="226">
        <f t="shared" si="49"/>
        <v>0</v>
      </c>
      <c r="J510" s="204">
        <v>0</v>
      </c>
      <c r="K510" s="204"/>
      <c r="L510" s="204">
        <f t="shared" ref="L510:L532" si="50">+J510+N510-O510</f>
        <v>0</v>
      </c>
      <c r="N510" s="204"/>
      <c r="O510" s="204"/>
    </row>
    <row r="511" spans="1:15" s="215" customFormat="1" hidden="1">
      <c r="A511" s="613" t="s">
        <v>273</v>
      </c>
      <c r="E511" s="239">
        <v>815</v>
      </c>
      <c r="F511" s="222"/>
      <c r="G511" s="224">
        <f>+TB!C335</f>
        <v>0</v>
      </c>
      <c r="H511" s="213">
        <f t="shared" si="46"/>
        <v>0</v>
      </c>
      <c r="I511" s="226">
        <f t="shared" si="49"/>
        <v>0</v>
      </c>
      <c r="J511" s="204">
        <v>0</v>
      </c>
      <c r="K511" s="204"/>
      <c r="L511" s="204">
        <f t="shared" si="50"/>
        <v>0</v>
      </c>
      <c r="N511" s="204"/>
      <c r="O511" s="204"/>
    </row>
    <row r="512" spans="1:15" s="215" customFormat="1" hidden="1">
      <c r="A512" s="613" t="s">
        <v>71</v>
      </c>
      <c r="E512" s="239">
        <v>830</v>
      </c>
      <c r="F512" s="222"/>
      <c r="G512" s="224">
        <f>+TB!C345</f>
        <v>0</v>
      </c>
      <c r="H512" s="213">
        <f t="shared" si="46"/>
        <v>0</v>
      </c>
      <c r="I512" s="226">
        <f t="shared" si="49"/>
        <v>0</v>
      </c>
      <c r="J512" s="204">
        <v>0</v>
      </c>
      <c r="K512" s="204"/>
      <c r="L512" s="204">
        <f t="shared" si="50"/>
        <v>0</v>
      </c>
      <c r="N512" s="204"/>
      <c r="O512" s="204"/>
    </row>
    <row r="513" spans="1:15" s="215" customFormat="1" hidden="1">
      <c r="A513" s="417" t="s">
        <v>753</v>
      </c>
      <c r="E513" s="239">
        <v>835</v>
      </c>
      <c r="F513" s="222"/>
      <c r="G513" s="224">
        <f>+TB!C350</f>
        <v>0</v>
      </c>
      <c r="H513" s="213">
        <f t="shared" si="46"/>
        <v>0</v>
      </c>
      <c r="I513" s="226">
        <f t="shared" si="49"/>
        <v>0</v>
      </c>
      <c r="J513" s="204">
        <v>0</v>
      </c>
      <c r="K513" s="204"/>
      <c r="L513" s="204">
        <f t="shared" si="50"/>
        <v>0</v>
      </c>
      <c r="N513" s="204"/>
      <c r="O513" s="204"/>
    </row>
    <row r="514" spans="1:15" s="215" customFormat="1">
      <c r="A514" s="214" t="s">
        <v>756</v>
      </c>
      <c r="E514" s="23">
        <v>841</v>
      </c>
      <c r="F514" s="222"/>
      <c r="G514" s="224">
        <f>TB!C353</f>
        <v>67550</v>
      </c>
      <c r="H514" s="213">
        <f t="shared" ref="H514" si="51">+L514</f>
        <v>67550</v>
      </c>
      <c r="I514" s="226">
        <f t="shared" ref="I514" si="52">+G514-H514</f>
        <v>0</v>
      </c>
      <c r="J514" s="204">
        <v>0</v>
      </c>
      <c r="K514" s="204"/>
      <c r="L514" s="204">
        <f t="shared" ref="L514" si="53">+J514+N514-O514</f>
        <v>67550</v>
      </c>
      <c r="N514" s="368">
        <v>67550</v>
      </c>
      <c r="O514" s="204">
        <v>0</v>
      </c>
    </row>
    <row r="515" spans="1:15" s="215" customFormat="1" hidden="1">
      <c r="A515" s="417" t="s">
        <v>255</v>
      </c>
      <c r="E515" s="23">
        <v>871</v>
      </c>
      <c r="F515" s="222"/>
      <c r="G515" s="224">
        <f>+TB!C367</f>
        <v>0</v>
      </c>
      <c r="H515" s="213">
        <f t="shared" si="46"/>
        <v>0</v>
      </c>
      <c r="I515" s="226">
        <f t="shared" si="49"/>
        <v>0</v>
      </c>
      <c r="J515" s="204">
        <v>0</v>
      </c>
      <c r="K515" s="204"/>
      <c r="L515" s="204">
        <f t="shared" si="50"/>
        <v>0</v>
      </c>
      <c r="N515" s="204"/>
      <c r="O515" s="204"/>
    </row>
    <row r="516" spans="1:15" s="215" customFormat="1" hidden="1">
      <c r="A516" s="417" t="s">
        <v>103</v>
      </c>
      <c r="E516" s="23">
        <v>874</v>
      </c>
      <c r="F516" s="222"/>
      <c r="G516" s="224">
        <f>+TB!C368</f>
        <v>0</v>
      </c>
      <c r="H516" s="213">
        <f t="shared" si="46"/>
        <v>0</v>
      </c>
      <c r="I516" s="226">
        <f t="shared" si="49"/>
        <v>0</v>
      </c>
      <c r="J516" s="204">
        <v>0</v>
      </c>
      <c r="K516" s="204"/>
      <c r="L516" s="204">
        <f t="shared" si="50"/>
        <v>0</v>
      </c>
      <c r="N516" s="204"/>
      <c r="O516" s="204"/>
    </row>
    <row r="517" spans="1:15" s="215" customFormat="1" hidden="1">
      <c r="A517" s="417" t="s">
        <v>104</v>
      </c>
      <c r="E517" s="23">
        <v>876</v>
      </c>
      <c r="F517" s="222"/>
      <c r="G517" s="224">
        <f>+TB!C370</f>
        <v>0</v>
      </c>
      <c r="H517" s="213">
        <f t="shared" si="46"/>
        <v>0</v>
      </c>
      <c r="I517" s="226">
        <f t="shared" si="49"/>
        <v>0</v>
      </c>
      <c r="J517" s="204">
        <v>0</v>
      </c>
      <c r="K517" s="204"/>
      <c r="L517" s="204">
        <f t="shared" si="50"/>
        <v>0</v>
      </c>
      <c r="N517" s="204"/>
      <c r="O517" s="204"/>
    </row>
    <row r="518" spans="1:15" s="215" customFormat="1" hidden="1">
      <c r="A518" s="417" t="s">
        <v>72</v>
      </c>
      <c r="E518" s="23">
        <v>878</v>
      </c>
      <c r="F518" s="222"/>
      <c r="G518" s="224">
        <f>+TB!C372</f>
        <v>0</v>
      </c>
      <c r="H518" s="213">
        <f t="shared" si="46"/>
        <v>0</v>
      </c>
      <c r="I518" s="226">
        <f t="shared" si="49"/>
        <v>0</v>
      </c>
      <c r="J518" s="204">
        <v>0</v>
      </c>
      <c r="K518" s="204"/>
      <c r="L518" s="204">
        <f t="shared" si="50"/>
        <v>0</v>
      </c>
      <c r="N518" s="204"/>
      <c r="O518" s="204"/>
    </row>
    <row r="519" spans="1:15" s="215" customFormat="1" hidden="1">
      <c r="A519" s="597" t="s">
        <v>512</v>
      </c>
      <c r="E519" s="23">
        <v>891</v>
      </c>
      <c r="F519" s="222"/>
      <c r="G519" s="224">
        <f>+TB!C377</f>
        <v>0</v>
      </c>
      <c r="H519" s="213">
        <f t="shared" si="46"/>
        <v>0</v>
      </c>
      <c r="I519" s="226">
        <f t="shared" si="49"/>
        <v>0</v>
      </c>
      <c r="J519" s="204">
        <v>0</v>
      </c>
      <c r="K519" s="204"/>
      <c r="L519" s="204">
        <f t="shared" si="50"/>
        <v>0</v>
      </c>
      <c r="N519" s="204"/>
      <c r="O519" s="204"/>
    </row>
    <row r="520" spans="1:15" s="215" customFormat="1" hidden="1">
      <c r="A520" s="214" t="s">
        <v>105</v>
      </c>
      <c r="E520" s="23">
        <v>893</v>
      </c>
      <c r="F520" s="222"/>
      <c r="G520" s="224">
        <f>+TB!C379</f>
        <v>0</v>
      </c>
      <c r="H520" s="213">
        <f t="shared" si="46"/>
        <v>0</v>
      </c>
      <c r="I520" s="226">
        <f t="shared" si="49"/>
        <v>0</v>
      </c>
      <c r="J520" s="204">
        <v>0</v>
      </c>
      <c r="K520" s="204"/>
      <c r="L520" s="204">
        <f t="shared" si="50"/>
        <v>0</v>
      </c>
      <c r="N520" s="204"/>
      <c r="O520" s="204"/>
    </row>
    <row r="521" spans="1:15" s="215" customFormat="1">
      <c r="A521" s="214" t="s">
        <v>369</v>
      </c>
      <c r="E521" s="23">
        <v>912</v>
      </c>
      <c r="F521" s="573"/>
      <c r="G521" s="224">
        <f>+TB!C383</f>
        <v>677572.4800000001</v>
      </c>
      <c r="H521" s="213"/>
      <c r="I521" s="226"/>
      <c r="J521" s="204">
        <v>0</v>
      </c>
      <c r="K521" s="204"/>
      <c r="L521" s="204">
        <f t="shared" si="50"/>
        <v>0</v>
      </c>
      <c r="N521" s="204"/>
      <c r="O521" s="204"/>
    </row>
    <row r="522" spans="1:15" s="215" customFormat="1">
      <c r="A522" s="214"/>
      <c r="E522" s="23"/>
      <c r="F522" s="573" t="s">
        <v>128</v>
      </c>
      <c r="G522" s="224"/>
      <c r="H522" s="213"/>
      <c r="I522" s="226"/>
      <c r="J522" s="204">
        <v>0</v>
      </c>
      <c r="K522" s="204"/>
      <c r="L522" s="204">
        <f t="shared" si="50"/>
        <v>0</v>
      </c>
      <c r="N522" s="204"/>
      <c r="O522" s="204"/>
    </row>
    <row r="523" spans="1:15" s="215" customFormat="1">
      <c r="A523" s="214"/>
      <c r="B523" s="215" t="s">
        <v>370</v>
      </c>
      <c r="E523" s="23"/>
      <c r="F523" s="221" t="s">
        <v>128</v>
      </c>
      <c r="G523" s="224"/>
      <c r="H523" s="213">
        <f t="shared" ref="H523:H532" si="54">+L523</f>
        <v>17628.75</v>
      </c>
      <c r="I523" s="226"/>
      <c r="J523" s="204">
        <v>15670</v>
      </c>
      <c r="K523" s="204"/>
      <c r="L523" s="204">
        <f t="shared" si="50"/>
        <v>17628.75</v>
      </c>
      <c r="N523" s="368">
        <v>1958.75</v>
      </c>
      <c r="O523" s="204"/>
    </row>
    <row r="524" spans="1:15" s="215" customFormat="1">
      <c r="A524" s="214"/>
      <c r="B524" s="215" t="s">
        <v>371</v>
      </c>
      <c r="E524" s="23"/>
      <c r="F524" s="221" t="s">
        <v>129</v>
      </c>
      <c r="G524" s="224"/>
      <c r="H524" s="213">
        <f t="shared" si="54"/>
        <v>17601.75</v>
      </c>
      <c r="I524" s="226"/>
      <c r="J524" s="204">
        <v>15646</v>
      </c>
      <c r="K524" s="204"/>
      <c r="L524" s="204">
        <f t="shared" si="50"/>
        <v>17601.75</v>
      </c>
      <c r="N524" s="368">
        <v>1955.75</v>
      </c>
      <c r="O524" s="204"/>
    </row>
    <row r="525" spans="1:15" s="215" customFormat="1">
      <c r="A525" s="214"/>
      <c r="B525" s="215" t="s">
        <v>372</v>
      </c>
      <c r="E525" s="23"/>
      <c r="F525" s="221" t="s">
        <v>132</v>
      </c>
      <c r="G525" s="224"/>
      <c r="H525" s="213">
        <f t="shared" si="54"/>
        <v>17628.75</v>
      </c>
      <c r="I525" s="226"/>
      <c r="J525" s="204">
        <v>15670</v>
      </c>
      <c r="K525" s="204"/>
      <c r="L525" s="204">
        <f t="shared" si="50"/>
        <v>17628.75</v>
      </c>
      <c r="N525" s="368">
        <v>1958.75</v>
      </c>
      <c r="O525" s="204"/>
    </row>
    <row r="526" spans="1:15" s="215" customFormat="1">
      <c r="A526" s="214"/>
      <c r="B526" s="218" t="s">
        <v>424</v>
      </c>
      <c r="E526" s="23"/>
      <c r="F526" s="222" t="s">
        <v>133</v>
      </c>
      <c r="G526" s="224"/>
      <c r="H526" s="213">
        <f t="shared" si="54"/>
        <v>17559.72</v>
      </c>
      <c r="I526" s="226"/>
      <c r="J526" s="204">
        <v>15608.64</v>
      </c>
      <c r="K526" s="204"/>
      <c r="L526" s="204">
        <f t="shared" si="50"/>
        <v>17559.72</v>
      </c>
      <c r="N526" s="368">
        <v>1951.08</v>
      </c>
      <c r="O526" s="204"/>
    </row>
    <row r="527" spans="1:15" s="215" customFormat="1">
      <c r="A527" s="214"/>
      <c r="B527" s="218" t="s">
        <v>450</v>
      </c>
      <c r="E527" s="23"/>
      <c r="F527" s="222" t="s">
        <v>134</v>
      </c>
      <c r="G527" s="224"/>
      <c r="H527" s="213">
        <f t="shared" si="54"/>
        <v>17998.02</v>
      </c>
      <c r="I527" s="226"/>
      <c r="J527" s="204">
        <v>15998.240000000002</v>
      </c>
      <c r="K527" s="204"/>
      <c r="L527" s="204">
        <f t="shared" si="50"/>
        <v>17998.02</v>
      </c>
      <c r="N527" s="368">
        <v>1999.78</v>
      </c>
      <c r="O527" s="204"/>
    </row>
    <row r="528" spans="1:15" s="215" customFormat="1">
      <c r="A528" s="214"/>
      <c r="B528" s="105" t="s">
        <v>454</v>
      </c>
      <c r="E528" s="23"/>
      <c r="F528" s="361" t="s">
        <v>135</v>
      </c>
      <c r="G528" s="224"/>
      <c r="H528" s="213">
        <f t="shared" si="54"/>
        <v>16920.72</v>
      </c>
      <c r="I528" s="226"/>
      <c r="J528" s="204">
        <v>15040.64</v>
      </c>
      <c r="K528" s="204"/>
      <c r="L528" s="204">
        <f t="shared" si="50"/>
        <v>16920.72</v>
      </c>
      <c r="N528" s="368">
        <v>1880.08</v>
      </c>
      <c r="O528" s="204"/>
    </row>
    <row r="529" spans="1:15" s="215" customFormat="1">
      <c r="A529" s="214"/>
      <c r="B529" s="105" t="s">
        <v>456</v>
      </c>
      <c r="E529" s="23"/>
      <c r="F529" s="222" t="s">
        <v>130</v>
      </c>
      <c r="G529" s="224"/>
      <c r="H529" s="213">
        <f t="shared" si="54"/>
        <v>17898.75</v>
      </c>
      <c r="I529" s="226"/>
      <c r="J529" s="204">
        <v>15910</v>
      </c>
      <c r="K529" s="204"/>
      <c r="L529" s="204">
        <f t="shared" si="50"/>
        <v>17898.75</v>
      </c>
      <c r="N529" s="368">
        <v>1988.75</v>
      </c>
      <c r="O529" s="204"/>
    </row>
    <row r="530" spans="1:15" s="215" customFormat="1">
      <c r="A530" s="214"/>
      <c r="B530" s="218" t="s">
        <v>394</v>
      </c>
      <c r="E530" s="23"/>
      <c r="F530" s="573" t="s">
        <v>129</v>
      </c>
      <c r="G530" s="224"/>
      <c r="H530" s="213">
        <f t="shared" si="54"/>
        <v>53462.879999999997</v>
      </c>
      <c r="I530" s="226"/>
      <c r="J530" s="204">
        <v>47522.559999999998</v>
      </c>
      <c r="K530" s="204"/>
      <c r="L530" s="204">
        <f t="shared" si="50"/>
        <v>53462.879999999997</v>
      </c>
      <c r="N530" s="368">
        <v>5940.32</v>
      </c>
      <c r="O530" s="204"/>
    </row>
    <row r="531" spans="1:15" s="215" customFormat="1">
      <c r="A531" s="214"/>
      <c r="B531" s="218" t="s">
        <v>395</v>
      </c>
      <c r="E531" s="23"/>
      <c r="F531" s="573" t="s">
        <v>132</v>
      </c>
      <c r="G531" s="224"/>
      <c r="H531" s="213">
        <f t="shared" si="54"/>
        <v>53614.89</v>
      </c>
      <c r="I531" s="226"/>
      <c r="J531" s="204">
        <v>47657.68</v>
      </c>
      <c r="K531" s="204"/>
      <c r="L531" s="204">
        <f t="shared" si="50"/>
        <v>53614.89</v>
      </c>
      <c r="N531" s="368">
        <v>5957.21</v>
      </c>
      <c r="O531" s="204"/>
    </row>
    <row r="532" spans="1:15" s="215" customFormat="1">
      <c r="A532" s="214"/>
      <c r="B532" s="105" t="s">
        <v>1014</v>
      </c>
      <c r="E532" s="23"/>
      <c r="F532" s="573" t="s">
        <v>133</v>
      </c>
      <c r="G532" s="224"/>
      <c r="H532" s="213">
        <f t="shared" si="54"/>
        <v>17444.52</v>
      </c>
      <c r="I532" s="226"/>
      <c r="J532" s="204">
        <v>15506.240000000002</v>
      </c>
      <c r="K532" s="204"/>
      <c r="L532" s="204">
        <f t="shared" si="50"/>
        <v>17444.52</v>
      </c>
      <c r="N532" s="368">
        <v>1938.28</v>
      </c>
      <c r="O532" s="204"/>
    </row>
    <row r="533" spans="1:15" s="215" customFormat="1">
      <c r="A533" s="214"/>
      <c r="B533" s="218" t="s">
        <v>448</v>
      </c>
      <c r="E533" s="23"/>
      <c r="F533" s="374" t="s">
        <v>134</v>
      </c>
      <c r="G533" s="224"/>
      <c r="H533" s="213"/>
      <c r="I533" s="226"/>
      <c r="J533" s="204"/>
      <c r="K533" s="204"/>
      <c r="L533" s="204"/>
      <c r="N533" s="368"/>
      <c r="O533" s="204"/>
    </row>
    <row r="534" spans="1:15" s="215" customFormat="1">
      <c r="A534" s="214"/>
      <c r="B534" s="218"/>
      <c r="C534" s="215" t="s">
        <v>440</v>
      </c>
      <c r="E534" s="23"/>
      <c r="F534" s="679" t="s">
        <v>128</v>
      </c>
      <c r="G534" s="224"/>
      <c r="H534" s="213">
        <f t="shared" ref="H534:H554" si="55">+L534</f>
        <v>17535.059999999998</v>
      </c>
      <c r="I534" s="226"/>
      <c r="J534" s="204">
        <v>15586.72</v>
      </c>
      <c r="K534" s="204"/>
      <c r="L534" s="204">
        <f t="shared" ref="L534:L554" si="56">+J534+N534-O534</f>
        <v>17535.059999999998</v>
      </c>
      <c r="N534" s="368">
        <v>1948.34</v>
      </c>
      <c r="O534" s="204"/>
    </row>
    <row r="535" spans="1:15" s="215" customFormat="1">
      <c r="A535" s="214"/>
      <c r="B535" s="218"/>
      <c r="C535" s="215" t="s">
        <v>441</v>
      </c>
      <c r="E535" s="23"/>
      <c r="F535" s="679" t="s">
        <v>129</v>
      </c>
      <c r="G535" s="224"/>
      <c r="H535" s="213">
        <f t="shared" si="55"/>
        <v>17535.059999999998</v>
      </c>
      <c r="I535" s="226"/>
      <c r="J535" s="204">
        <v>15586.72</v>
      </c>
      <c r="K535" s="204"/>
      <c r="L535" s="204">
        <f t="shared" si="56"/>
        <v>17535.059999999998</v>
      </c>
      <c r="N535" s="368">
        <v>1948.34</v>
      </c>
      <c r="O535" s="204"/>
    </row>
    <row r="536" spans="1:15" s="215" customFormat="1">
      <c r="A536" s="214"/>
      <c r="B536" s="218"/>
      <c r="C536" s="215" t="s">
        <v>442</v>
      </c>
      <c r="E536" s="23"/>
      <c r="F536" s="679" t="s">
        <v>132</v>
      </c>
      <c r="G536" s="224"/>
      <c r="H536" s="213">
        <f t="shared" si="55"/>
        <v>17535.059999999998</v>
      </c>
      <c r="I536" s="226"/>
      <c r="J536" s="204">
        <v>15586.72</v>
      </c>
      <c r="K536" s="204"/>
      <c r="L536" s="204">
        <f t="shared" si="56"/>
        <v>17535.059999999998</v>
      </c>
      <c r="N536" s="368">
        <v>1948.34</v>
      </c>
      <c r="O536" s="204"/>
    </row>
    <row r="537" spans="1:15" s="215" customFormat="1">
      <c r="A537" s="214"/>
      <c r="B537" s="218"/>
      <c r="C537" s="215" t="s">
        <v>443</v>
      </c>
      <c r="E537" s="23"/>
      <c r="F537" s="679" t="s">
        <v>133</v>
      </c>
      <c r="G537" s="224"/>
      <c r="H537" s="213">
        <f t="shared" si="55"/>
        <v>17535.059999999998</v>
      </c>
      <c r="I537" s="226"/>
      <c r="J537" s="204">
        <v>15586.72</v>
      </c>
      <c r="K537" s="204"/>
      <c r="L537" s="204">
        <f t="shared" si="56"/>
        <v>17535.059999999998</v>
      </c>
      <c r="N537" s="368">
        <v>1948.34</v>
      </c>
      <c r="O537" s="204"/>
    </row>
    <row r="538" spans="1:15" s="215" customFormat="1">
      <c r="A538" s="214"/>
      <c r="B538" s="218"/>
      <c r="C538" s="215" t="s">
        <v>444</v>
      </c>
      <c r="E538" s="23"/>
      <c r="F538" s="679" t="s">
        <v>134</v>
      </c>
      <c r="G538" s="224"/>
      <c r="H538" s="213">
        <f t="shared" si="55"/>
        <v>17535.059999999998</v>
      </c>
      <c r="I538" s="226"/>
      <c r="J538" s="204">
        <v>15586.72</v>
      </c>
      <c r="K538" s="204"/>
      <c r="L538" s="204">
        <f t="shared" si="56"/>
        <v>17535.059999999998</v>
      </c>
      <c r="N538" s="368">
        <v>1948.34</v>
      </c>
      <c r="O538" s="204"/>
    </row>
    <row r="539" spans="1:15" s="215" customFormat="1">
      <c r="A539" s="214"/>
      <c r="B539" s="218"/>
      <c r="C539" s="215" t="s">
        <v>445</v>
      </c>
      <c r="E539" s="23"/>
      <c r="F539" s="679" t="s">
        <v>135</v>
      </c>
      <c r="G539" s="224"/>
      <c r="H539" s="213">
        <f t="shared" si="55"/>
        <v>17535.059999999998</v>
      </c>
      <c r="I539" s="226"/>
      <c r="J539" s="204">
        <v>15586.72</v>
      </c>
      <c r="K539" s="204"/>
      <c r="L539" s="204">
        <f t="shared" si="56"/>
        <v>17535.059999999998</v>
      </c>
      <c r="N539" s="368">
        <v>1948.34</v>
      </c>
      <c r="O539" s="204"/>
    </row>
    <row r="540" spans="1:15" s="215" customFormat="1">
      <c r="A540" s="214"/>
      <c r="B540" s="218"/>
      <c r="C540" s="215" t="s">
        <v>446</v>
      </c>
      <c r="E540" s="23"/>
      <c r="F540" s="679" t="s">
        <v>130</v>
      </c>
      <c r="G540" s="224"/>
      <c r="H540" s="213">
        <f t="shared" si="55"/>
        <v>17535.059999999998</v>
      </c>
      <c r="I540" s="226"/>
      <c r="J540" s="204">
        <v>15586.72</v>
      </c>
      <c r="K540" s="204"/>
      <c r="L540" s="204">
        <f t="shared" si="56"/>
        <v>17535.059999999998</v>
      </c>
      <c r="N540" s="368">
        <v>1948.34</v>
      </c>
      <c r="O540" s="204"/>
    </row>
    <row r="541" spans="1:15" s="215" customFormat="1">
      <c r="A541" s="214"/>
      <c r="B541" s="218"/>
      <c r="C541" s="215" t="s">
        <v>464</v>
      </c>
      <c r="E541" s="23"/>
      <c r="F541" s="679" t="s">
        <v>136</v>
      </c>
      <c r="G541" s="224"/>
      <c r="H541" s="213">
        <f t="shared" si="55"/>
        <v>17212.5</v>
      </c>
      <c r="I541" s="226"/>
      <c r="J541" s="204">
        <v>15300</v>
      </c>
      <c r="K541" s="204"/>
      <c r="L541" s="204">
        <f t="shared" si="56"/>
        <v>17212.5</v>
      </c>
      <c r="N541" s="368">
        <v>1912.5</v>
      </c>
      <c r="O541" s="204"/>
    </row>
    <row r="542" spans="1:15" s="215" customFormat="1">
      <c r="A542" s="214"/>
      <c r="B542" s="218"/>
      <c r="C542" s="215" t="s">
        <v>465</v>
      </c>
      <c r="E542" s="23"/>
      <c r="F542" s="679" t="s">
        <v>137</v>
      </c>
      <c r="G542" s="224"/>
      <c r="H542" s="213">
        <f t="shared" si="55"/>
        <v>17212.5</v>
      </c>
      <c r="I542" s="226"/>
      <c r="J542" s="204">
        <v>15300</v>
      </c>
      <c r="K542" s="204"/>
      <c r="L542" s="204">
        <f t="shared" si="56"/>
        <v>17212.5</v>
      </c>
      <c r="N542" s="368">
        <v>1912.5</v>
      </c>
      <c r="O542" s="204"/>
    </row>
    <row r="543" spans="1:15" s="215" customFormat="1">
      <c r="A543" s="214"/>
      <c r="B543" s="218"/>
      <c r="C543" s="215" t="s">
        <v>466</v>
      </c>
      <c r="E543" s="23"/>
      <c r="F543" s="679" t="s">
        <v>138</v>
      </c>
      <c r="G543" s="224"/>
      <c r="H543" s="213">
        <f t="shared" si="55"/>
        <v>17212.5</v>
      </c>
      <c r="I543" s="226"/>
      <c r="J543" s="204">
        <v>15300</v>
      </c>
      <c r="K543" s="204"/>
      <c r="L543" s="204">
        <f t="shared" si="56"/>
        <v>17212.5</v>
      </c>
      <c r="N543" s="368">
        <v>1912.5</v>
      </c>
      <c r="O543" s="204"/>
    </row>
    <row r="544" spans="1:15" s="215" customFormat="1">
      <c r="A544" s="214"/>
      <c r="B544" s="218"/>
      <c r="C544" s="215" t="s">
        <v>467</v>
      </c>
      <c r="E544" s="23"/>
      <c r="F544" s="679" t="s">
        <v>139</v>
      </c>
      <c r="G544" s="224"/>
      <c r="H544" s="213">
        <f t="shared" si="55"/>
        <v>17212.5</v>
      </c>
      <c r="I544" s="226"/>
      <c r="J544" s="204">
        <v>15300</v>
      </c>
      <c r="K544" s="204"/>
      <c r="L544" s="204">
        <f t="shared" si="56"/>
        <v>17212.5</v>
      </c>
      <c r="N544" s="368">
        <v>1912.5</v>
      </c>
      <c r="O544" s="204"/>
    </row>
    <row r="545" spans="1:15" s="215" customFormat="1">
      <c r="A545" s="214"/>
      <c r="B545" s="218"/>
      <c r="C545" s="215" t="s">
        <v>468</v>
      </c>
      <c r="E545" s="23"/>
      <c r="F545" s="679" t="s">
        <v>140</v>
      </c>
      <c r="G545" s="224"/>
      <c r="H545" s="213">
        <f t="shared" si="55"/>
        <v>17212.5</v>
      </c>
      <c r="I545" s="226"/>
      <c r="J545" s="204">
        <v>15300</v>
      </c>
      <c r="K545" s="204"/>
      <c r="L545" s="204">
        <f t="shared" si="56"/>
        <v>17212.5</v>
      </c>
      <c r="N545" s="368">
        <v>1912.5</v>
      </c>
      <c r="O545" s="204"/>
    </row>
    <row r="546" spans="1:15" s="215" customFormat="1">
      <c r="A546" s="214"/>
      <c r="B546" s="218"/>
      <c r="C546" s="215" t="s">
        <v>395</v>
      </c>
      <c r="E546" s="23"/>
      <c r="F546" s="679" t="s">
        <v>141</v>
      </c>
      <c r="G546" s="224"/>
      <c r="H546" s="213">
        <f t="shared" si="55"/>
        <v>17212.5</v>
      </c>
      <c r="I546" s="226"/>
      <c r="J546" s="204">
        <v>15300</v>
      </c>
      <c r="K546" s="204"/>
      <c r="L546" s="204">
        <f t="shared" si="56"/>
        <v>17212.5</v>
      </c>
      <c r="N546" s="368">
        <v>1912.5</v>
      </c>
      <c r="O546" s="204"/>
    </row>
    <row r="547" spans="1:15" s="215" customFormat="1">
      <c r="A547" s="214"/>
      <c r="B547" s="218"/>
      <c r="C547" s="215" t="s">
        <v>469</v>
      </c>
      <c r="E547" s="23"/>
      <c r="F547" s="679" t="s">
        <v>142</v>
      </c>
      <c r="G547" s="224"/>
      <c r="H547" s="213">
        <f t="shared" si="55"/>
        <v>17212.5</v>
      </c>
      <c r="I547" s="226"/>
      <c r="J547" s="204">
        <v>15300</v>
      </c>
      <c r="K547" s="204"/>
      <c r="L547" s="204">
        <f t="shared" si="56"/>
        <v>17212.5</v>
      </c>
      <c r="N547" s="368">
        <v>1912.5</v>
      </c>
      <c r="O547" s="204"/>
    </row>
    <row r="548" spans="1:15" s="215" customFormat="1">
      <c r="A548" s="214"/>
      <c r="B548" s="105" t="s">
        <v>461</v>
      </c>
      <c r="E548" s="23"/>
      <c r="F548" s="573" t="s">
        <v>135</v>
      </c>
      <c r="G548" s="224"/>
      <c r="H548" s="213">
        <f t="shared" si="55"/>
        <v>11664.539999999997</v>
      </c>
      <c r="I548" s="226"/>
      <c r="J548" s="204">
        <v>10368.479999999998</v>
      </c>
      <c r="K548" s="204"/>
      <c r="L548" s="204">
        <f t="shared" si="56"/>
        <v>11664.539999999997</v>
      </c>
      <c r="N548" s="368">
        <v>1296.06</v>
      </c>
      <c r="O548" s="204"/>
    </row>
    <row r="549" spans="1:15" s="215" customFormat="1">
      <c r="A549" s="214"/>
      <c r="B549" s="105" t="s">
        <v>908</v>
      </c>
      <c r="E549" s="23"/>
      <c r="F549" s="573" t="s">
        <v>130</v>
      </c>
      <c r="G549" s="224"/>
      <c r="H549" s="213">
        <f t="shared" si="55"/>
        <v>78627.140000000014</v>
      </c>
      <c r="I549" s="226"/>
      <c r="J549" s="204">
        <v>69890.790000000008</v>
      </c>
      <c r="K549" s="204"/>
      <c r="L549" s="204">
        <f t="shared" si="56"/>
        <v>78627.140000000014</v>
      </c>
      <c r="N549" s="368">
        <v>8736.35</v>
      </c>
      <c r="O549" s="204"/>
    </row>
    <row r="550" spans="1:15" s="215" customFormat="1">
      <c r="A550" s="214"/>
      <c r="B550" s="105" t="s">
        <v>1121</v>
      </c>
      <c r="E550" s="23"/>
      <c r="F550" s="573" t="s">
        <v>136</v>
      </c>
      <c r="G550" s="224"/>
      <c r="H550" s="213">
        <f t="shared" si="55"/>
        <v>17026.439999999999</v>
      </c>
      <c r="I550" s="226"/>
      <c r="J550" s="204">
        <v>14188.699999999999</v>
      </c>
      <c r="K550" s="204"/>
      <c r="L550" s="204">
        <f t="shared" si="56"/>
        <v>17026.439999999999</v>
      </c>
      <c r="N550" s="368">
        <v>2837.74</v>
      </c>
      <c r="O550" s="204"/>
    </row>
    <row r="551" spans="1:15" s="215" customFormat="1">
      <c r="A551" s="214"/>
      <c r="B551" s="105" t="s">
        <v>1122</v>
      </c>
      <c r="E551" s="23"/>
      <c r="F551" s="573" t="s">
        <v>137</v>
      </c>
      <c r="G551" s="224"/>
      <c r="H551" s="213">
        <f t="shared" si="55"/>
        <v>19719.434724999999</v>
      </c>
      <c r="I551" s="226"/>
      <c r="J551" s="204">
        <v>16902.374724999998</v>
      </c>
      <c r="K551" s="204"/>
      <c r="L551" s="204">
        <f t="shared" si="56"/>
        <v>19719.434724999999</v>
      </c>
      <c r="N551" s="368">
        <v>2817.06</v>
      </c>
      <c r="O551" s="204"/>
    </row>
    <row r="552" spans="1:15" s="215" customFormat="1">
      <c r="A552" s="214"/>
      <c r="B552" s="105" t="s">
        <v>1103</v>
      </c>
      <c r="E552" s="23"/>
      <c r="F552" s="573" t="s">
        <v>138</v>
      </c>
      <c r="G552" s="224"/>
      <c r="H552" s="213">
        <f t="shared" si="55"/>
        <v>19829.385725</v>
      </c>
      <c r="I552" s="226"/>
      <c r="J552" s="204">
        <v>16996.615725</v>
      </c>
      <c r="K552" s="204"/>
      <c r="L552" s="204">
        <f t="shared" si="56"/>
        <v>19829.385725</v>
      </c>
      <c r="N552" s="368">
        <v>2832.77</v>
      </c>
      <c r="O552" s="204"/>
    </row>
    <row r="553" spans="1:15" s="215" customFormat="1">
      <c r="A553" s="214"/>
      <c r="B553" s="105" t="s">
        <v>1072</v>
      </c>
      <c r="E553" s="23"/>
      <c r="F553" s="573" t="s">
        <v>139</v>
      </c>
      <c r="G553" s="224"/>
      <c r="H553" s="213">
        <f t="shared" si="55"/>
        <v>19861.667600000001</v>
      </c>
      <c r="I553" s="226"/>
      <c r="J553" s="204">
        <v>17024.2876</v>
      </c>
      <c r="K553" s="204"/>
      <c r="L553" s="204">
        <f t="shared" si="56"/>
        <v>19861.667600000001</v>
      </c>
      <c r="N553" s="368">
        <v>2837.38</v>
      </c>
      <c r="O553" s="204"/>
    </row>
    <row r="554" spans="1:15" s="215" customFormat="1">
      <c r="A554" s="214"/>
      <c r="B554" s="105" t="s">
        <v>1073</v>
      </c>
      <c r="E554" s="23"/>
      <c r="F554" s="374" t="s">
        <v>140</v>
      </c>
      <c r="G554" s="224"/>
      <c r="H554" s="213">
        <f t="shared" si="55"/>
        <v>19852.197324999997</v>
      </c>
      <c r="I554" s="226"/>
      <c r="J554" s="204">
        <v>17016.167324999999</v>
      </c>
      <c r="K554" s="204"/>
      <c r="L554" s="204">
        <f t="shared" si="56"/>
        <v>19852.197324999997</v>
      </c>
      <c r="N554" s="368">
        <v>2836.03</v>
      </c>
      <c r="O554" s="204"/>
    </row>
    <row r="555" spans="1:15" s="215" customFormat="1">
      <c r="A555" s="214"/>
      <c r="E555" s="23"/>
      <c r="F555" s="221"/>
      <c r="G555" s="224"/>
      <c r="H555" s="220">
        <f>SUM(H523:H554)</f>
        <v>677572.47537499981</v>
      </c>
      <c r="I555" s="226">
        <f>+G521-H555</f>
        <v>4.6250002924352884E-3</v>
      </c>
      <c r="J555" s="204"/>
      <c r="K555" s="204"/>
      <c r="L555" s="204"/>
      <c r="N555" s="368"/>
      <c r="O555" s="204"/>
    </row>
    <row r="556" spans="1:15" s="215" customFormat="1">
      <c r="A556" s="214" t="s">
        <v>319</v>
      </c>
      <c r="E556" s="23">
        <v>921</v>
      </c>
      <c r="F556" s="222"/>
      <c r="G556" s="224">
        <f>+TB!C390</f>
        <v>6993</v>
      </c>
      <c r="H556" s="213"/>
      <c r="I556" s="226"/>
      <c r="J556" s="204"/>
      <c r="K556" s="204"/>
      <c r="L556" s="204"/>
      <c r="N556" s="368"/>
      <c r="O556" s="204"/>
    </row>
    <row r="557" spans="1:15" s="215" customFormat="1">
      <c r="A557" s="214"/>
      <c r="B557" s="218" t="s">
        <v>368</v>
      </c>
      <c r="E557" s="23"/>
      <c r="F557" s="360" t="s">
        <v>128</v>
      </c>
      <c r="G557" s="224"/>
      <c r="H557" s="213">
        <f>+L557</f>
        <v>6993</v>
      </c>
      <c r="I557" s="226"/>
      <c r="J557" s="204">
        <v>6993</v>
      </c>
      <c r="K557" s="204"/>
      <c r="L557" s="204">
        <f>+J557+N557-O557</f>
        <v>6993</v>
      </c>
      <c r="N557" s="368"/>
      <c r="O557" s="204"/>
    </row>
    <row r="558" spans="1:15" s="215" customFormat="1">
      <c r="A558" s="214"/>
      <c r="B558" s="218"/>
      <c r="E558" s="23"/>
      <c r="F558" s="221"/>
      <c r="G558" s="224"/>
      <c r="H558" s="220">
        <f>SUM(H557:H557)</f>
        <v>6993</v>
      </c>
      <c r="I558" s="226">
        <f>+G556-H558</f>
        <v>0</v>
      </c>
      <c r="J558" s="204"/>
      <c r="K558" s="204"/>
      <c r="L558" s="204"/>
      <c r="N558" s="368"/>
      <c r="O558" s="204"/>
    </row>
    <row r="559" spans="1:15" s="215" customFormat="1">
      <c r="A559" s="214" t="s">
        <v>106</v>
      </c>
      <c r="E559" s="23">
        <v>923</v>
      </c>
      <c r="F559" s="222"/>
      <c r="G559" s="224">
        <f>+TB!C392</f>
        <v>20877.75</v>
      </c>
      <c r="H559" s="213"/>
      <c r="I559" s="226"/>
      <c r="J559" s="204"/>
      <c r="K559" s="204"/>
      <c r="L559" s="204"/>
      <c r="N559" s="368"/>
      <c r="O559" s="204"/>
    </row>
    <row r="560" spans="1:15" s="215" customFormat="1" hidden="1">
      <c r="A560" s="214"/>
      <c r="B560" s="215" t="s">
        <v>341</v>
      </c>
      <c r="E560" s="23"/>
      <c r="F560" s="221" t="s">
        <v>128</v>
      </c>
      <c r="G560" s="224"/>
      <c r="H560" s="213">
        <f>+L560</f>
        <v>0</v>
      </c>
      <c r="I560" s="226"/>
      <c r="J560" s="204">
        <v>0</v>
      </c>
      <c r="K560" s="204"/>
      <c r="L560" s="204">
        <f t="shared" ref="L560:L565" si="57">+J560+N560-O560</f>
        <v>0</v>
      </c>
      <c r="N560" s="368"/>
      <c r="O560" s="204"/>
    </row>
    <row r="561" spans="1:15" s="215" customFormat="1">
      <c r="A561" s="238"/>
      <c r="B561" s="543" t="s">
        <v>362</v>
      </c>
      <c r="C561" s="231"/>
      <c r="D561" s="231"/>
      <c r="E561" s="126"/>
      <c r="F561" s="680" t="s">
        <v>129</v>
      </c>
      <c r="G561" s="675"/>
      <c r="H561" s="232">
        <f>+L561</f>
        <v>384.75</v>
      </c>
      <c r="I561" s="226"/>
      <c r="J561" s="204">
        <v>384.75</v>
      </c>
      <c r="K561" s="204"/>
      <c r="L561" s="204">
        <f t="shared" si="57"/>
        <v>384.75</v>
      </c>
      <c r="N561" s="368"/>
      <c r="O561" s="204"/>
    </row>
    <row r="562" spans="1:15" s="215" customFormat="1">
      <c r="A562" s="214"/>
      <c r="B562" s="218" t="s">
        <v>377</v>
      </c>
      <c r="E562" s="23"/>
      <c r="F562" s="221" t="s">
        <v>132</v>
      </c>
      <c r="G562" s="224"/>
      <c r="H562" s="213">
        <f>+L562</f>
        <v>6480</v>
      </c>
      <c r="I562" s="226"/>
      <c r="J562" s="204">
        <v>5760</v>
      </c>
      <c r="K562" s="204"/>
      <c r="L562" s="204">
        <f t="shared" si="57"/>
        <v>6480</v>
      </c>
      <c r="N562" s="368">
        <v>720</v>
      </c>
      <c r="O562" s="204"/>
    </row>
    <row r="563" spans="1:15" s="215" customFormat="1">
      <c r="A563" s="214"/>
      <c r="B563" s="218" t="s">
        <v>378</v>
      </c>
      <c r="E563" s="23"/>
      <c r="F563" s="221" t="s">
        <v>133</v>
      </c>
      <c r="G563" s="224"/>
      <c r="H563" s="213">
        <f>+L563</f>
        <v>6470.5499999999993</v>
      </c>
      <c r="I563" s="226"/>
      <c r="J563" s="204">
        <v>5751.5999999999995</v>
      </c>
      <c r="K563" s="204"/>
      <c r="L563" s="204">
        <f t="shared" si="57"/>
        <v>6470.5499999999993</v>
      </c>
      <c r="N563" s="368">
        <v>718.95</v>
      </c>
      <c r="O563" s="204"/>
    </row>
    <row r="564" spans="1:15" s="215" customFormat="1">
      <c r="A564" s="214"/>
      <c r="B564" s="218" t="s">
        <v>379</v>
      </c>
      <c r="E564" s="23"/>
      <c r="F564" s="221" t="s">
        <v>134</v>
      </c>
      <c r="G564" s="224"/>
      <c r="H564" s="213">
        <f>+L564</f>
        <v>7542.4500000000007</v>
      </c>
      <c r="I564" s="226"/>
      <c r="J564" s="204">
        <v>6704.4000000000005</v>
      </c>
      <c r="K564" s="204"/>
      <c r="L564" s="204">
        <f t="shared" si="57"/>
        <v>7542.4500000000007</v>
      </c>
      <c r="N564" s="368">
        <v>838.05</v>
      </c>
      <c r="O564" s="204"/>
    </row>
    <row r="565" spans="1:15" s="215" customFormat="1">
      <c r="A565" s="214"/>
      <c r="E565" s="23"/>
      <c r="F565" s="221"/>
      <c r="G565" s="224"/>
      <c r="H565" s="220">
        <f>SUM(H560:H564)</f>
        <v>20877.75</v>
      </c>
      <c r="I565" s="226">
        <f>+H565-G559</f>
        <v>0</v>
      </c>
      <c r="J565" s="204">
        <v>0</v>
      </c>
      <c r="K565" s="204"/>
      <c r="L565" s="204">
        <f t="shared" si="57"/>
        <v>0</v>
      </c>
      <c r="N565" s="368"/>
      <c r="O565" s="204"/>
    </row>
    <row r="566" spans="1:15" s="215" customFormat="1">
      <c r="A566" s="214"/>
      <c r="E566" s="23"/>
      <c r="F566" s="221"/>
      <c r="G566" s="224"/>
      <c r="H566" s="213"/>
      <c r="I566" s="226"/>
      <c r="J566" s="204"/>
      <c r="K566" s="204"/>
      <c r="L566" s="204"/>
      <c r="N566" s="368"/>
      <c r="O566" s="204"/>
    </row>
    <row r="567" spans="1:15" s="215" customFormat="1">
      <c r="A567" s="214" t="s">
        <v>320</v>
      </c>
      <c r="E567" s="23">
        <v>929</v>
      </c>
      <c r="F567" s="221"/>
      <c r="G567" s="224">
        <f>+TB!C396</f>
        <v>1559.25</v>
      </c>
      <c r="H567" s="213">
        <f>+L567</f>
        <v>1559.25</v>
      </c>
      <c r="I567" s="226">
        <f>+G567-H567</f>
        <v>0</v>
      </c>
      <c r="J567" s="204">
        <v>1386</v>
      </c>
      <c r="K567" s="204"/>
      <c r="L567" s="204">
        <f>+J567+N567-O567</f>
        <v>1559.25</v>
      </c>
      <c r="N567" s="368">
        <v>173.25</v>
      </c>
      <c r="O567" s="204"/>
    </row>
    <row r="568" spans="1:15" s="215" customFormat="1">
      <c r="A568" s="214" t="s">
        <v>277</v>
      </c>
      <c r="E568" s="23">
        <v>935</v>
      </c>
      <c r="F568" s="222"/>
      <c r="G568" s="224">
        <f>+TB!C402</f>
        <v>31018.32</v>
      </c>
      <c r="H568" s="213"/>
      <c r="I568" s="226"/>
      <c r="J568" s="204"/>
      <c r="K568" s="204"/>
      <c r="L568" s="204"/>
      <c r="N568" s="368"/>
      <c r="O568" s="204"/>
    </row>
    <row r="569" spans="1:15" s="215" customFormat="1">
      <c r="A569" s="214"/>
      <c r="B569" s="215" t="s">
        <v>342</v>
      </c>
      <c r="E569" s="23"/>
      <c r="F569" s="221" t="s">
        <v>128</v>
      </c>
      <c r="G569" s="224"/>
      <c r="H569" s="213">
        <f t="shared" ref="H569:H576" si="58">+L569</f>
        <v>1417.5</v>
      </c>
      <c r="I569" s="226"/>
      <c r="J569" s="204">
        <v>1260</v>
      </c>
      <c r="K569" s="204"/>
      <c r="L569" s="204">
        <f t="shared" ref="L569:L576" si="59">+J569+N569-O569</f>
        <v>1417.5</v>
      </c>
      <c r="N569" s="368">
        <v>157.5</v>
      </c>
      <c r="O569" s="204"/>
    </row>
    <row r="570" spans="1:15" s="215" customFormat="1">
      <c r="A570" s="214"/>
      <c r="B570" s="215" t="s">
        <v>343</v>
      </c>
      <c r="E570" s="23"/>
      <c r="F570" s="221" t="s">
        <v>129</v>
      </c>
      <c r="G570" s="224"/>
      <c r="H570" s="213">
        <f t="shared" si="58"/>
        <v>12757.5</v>
      </c>
      <c r="I570" s="226"/>
      <c r="J570" s="204">
        <v>11340</v>
      </c>
      <c r="K570" s="204"/>
      <c r="L570" s="204">
        <f t="shared" si="59"/>
        <v>12757.5</v>
      </c>
      <c r="N570" s="368">
        <v>1417.5</v>
      </c>
      <c r="O570" s="204"/>
    </row>
    <row r="571" spans="1:15" s="215" customFormat="1">
      <c r="A571" s="214"/>
      <c r="B571" s="215" t="s">
        <v>344</v>
      </c>
      <c r="E571" s="23"/>
      <c r="F571" s="221" t="s">
        <v>132</v>
      </c>
      <c r="G571" s="224"/>
      <c r="H571" s="213">
        <f t="shared" si="58"/>
        <v>3408.75</v>
      </c>
      <c r="I571" s="226"/>
      <c r="J571" s="204">
        <v>3030</v>
      </c>
      <c r="K571" s="204"/>
      <c r="L571" s="204">
        <f t="shared" si="59"/>
        <v>3408.75</v>
      </c>
      <c r="N571" s="368">
        <v>378.75</v>
      </c>
      <c r="O571" s="204"/>
    </row>
    <row r="572" spans="1:15" s="215" customFormat="1">
      <c r="A572" s="214"/>
      <c r="B572" s="218" t="s">
        <v>346</v>
      </c>
      <c r="E572" s="23"/>
      <c r="F572" s="221" t="s">
        <v>133</v>
      </c>
      <c r="G572" s="224"/>
      <c r="H572" s="213">
        <f t="shared" si="58"/>
        <v>2362.5</v>
      </c>
      <c r="I572" s="226"/>
      <c r="J572" s="204">
        <v>2100</v>
      </c>
      <c r="K572" s="204"/>
      <c r="L572" s="204">
        <f t="shared" si="59"/>
        <v>2362.5</v>
      </c>
      <c r="N572" s="368">
        <v>262.5</v>
      </c>
      <c r="O572" s="204"/>
    </row>
    <row r="573" spans="1:15" s="215" customFormat="1">
      <c r="A573" s="214"/>
      <c r="B573" s="218" t="s">
        <v>345</v>
      </c>
      <c r="E573" s="23"/>
      <c r="F573" s="221" t="s">
        <v>134</v>
      </c>
      <c r="G573" s="224"/>
      <c r="H573" s="213">
        <f t="shared" si="58"/>
        <v>1966.32</v>
      </c>
      <c r="I573" s="226"/>
      <c r="J573" s="204">
        <v>1747.84</v>
      </c>
      <c r="K573" s="204"/>
      <c r="L573" s="204">
        <f t="shared" si="59"/>
        <v>1966.32</v>
      </c>
      <c r="N573" s="368">
        <v>218.48</v>
      </c>
      <c r="O573" s="204"/>
    </row>
    <row r="574" spans="1:15" s="215" customFormat="1">
      <c r="A574" s="214"/>
      <c r="B574" s="105" t="s">
        <v>946</v>
      </c>
      <c r="E574" s="23"/>
      <c r="F574" s="361" t="s">
        <v>135</v>
      </c>
      <c r="G574" s="224"/>
      <c r="H574" s="213">
        <f t="shared" si="58"/>
        <v>2018.25</v>
      </c>
      <c r="I574" s="226"/>
      <c r="J574" s="204">
        <v>1794</v>
      </c>
      <c r="K574" s="204"/>
      <c r="L574" s="204">
        <f t="shared" si="59"/>
        <v>2018.25</v>
      </c>
      <c r="N574" s="368">
        <v>224.25</v>
      </c>
      <c r="O574" s="204"/>
    </row>
    <row r="575" spans="1:15" s="215" customFormat="1">
      <c r="A575" s="214"/>
      <c r="B575" s="105" t="s">
        <v>947</v>
      </c>
      <c r="E575" s="23"/>
      <c r="F575" s="361" t="s">
        <v>130</v>
      </c>
      <c r="G575" s="224"/>
      <c r="H575" s="213">
        <f t="shared" si="58"/>
        <v>2524.5</v>
      </c>
      <c r="I575" s="226"/>
      <c r="J575" s="204">
        <v>2244</v>
      </c>
      <c r="K575" s="204"/>
      <c r="L575" s="204">
        <f t="shared" si="59"/>
        <v>2524.5</v>
      </c>
      <c r="N575" s="368">
        <v>280.5</v>
      </c>
      <c r="O575" s="204"/>
    </row>
    <row r="576" spans="1:15" s="215" customFormat="1">
      <c r="A576" s="214"/>
      <c r="B576" s="105" t="s">
        <v>957</v>
      </c>
      <c r="E576" s="23"/>
      <c r="F576" s="361" t="s">
        <v>136</v>
      </c>
      <c r="G576" s="224"/>
      <c r="H576" s="213">
        <f t="shared" si="58"/>
        <v>4563</v>
      </c>
      <c r="I576" s="226"/>
      <c r="J576" s="204">
        <v>4056</v>
      </c>
      <c r="K576" s="204"/>
      <c r="L576" s="204">
        <f t="shared" si="59"/>
        <v>4563</v>
      </c>
      <c r="N576" s="368">
        <v>507</v>
      </c>
      <c r="O576" s="204"/>
    </row>
    <row r="577" spans="1:15" s="215" customFormat="1">
      <c r="A577" s="214"/>
      <c r="E577" s="23"/>
      <c r="F577" s="222"/>
      <c r="G577" s="224"/>
      <c r="H577" s="220">
        <f>SUM(H569:H576)</f>
        <v>31018.32</v>
      </c>
      <c r="I577" s="226">
        <f>+G568-H577</f>
        <v>0</v>
      </c>
      <c r="J577" s="204"/>
      <c r="K577" s="204"/>
      <c r="L577" s="204"/>
      <c r="N577" s="368"/>
      <c r="O577" s="204"/>
    </row>
    <row r="578" spans="1:15" s="215" customFormat="1">
      <c r="A578" s="214" t="s">
        <v>107</v>
      </c>
      <c r="E578" s="23">
        <v>936</v>
      </c>
      <c r="F578" s="222"/>
      <c r="G578" s="224">
        <f>+TB!C403</f>
        <v>5238</v>
      </c>
      <c r="H578" s="213">
        <f>+L578</f>
        <v>5238</v>
      </c>
      <c r="I578" s="226">
        <f>+G578-H578</f>
        <v>0</v>
      </c>
      <c r="J578" s="204">
        <v>4656</v>
      </c>
      <c r="K578" s="204"/>
      <c r="L578" s="204">
        <f>+J578+N578-O578</f>
        <v>5238</v>
      </c>
      <c r="N578" s="368">
        <v>582</v>
      </c>
      <c r="O578" s="204"/>
    </row>
    <row r="579" spans="1:15" s="215" customFormat="1">
      <c r="A579" s="214" t="s">
        <v>298</v>
      </c>
      <c r="E579" s="23">
        <v>950</v>
      </c>
      <c r="F579" s="222"/>
      <c r="G579" s="224">
        <f>+TB!C408</f>
        <v>9396</v>
      </c>
      <c r="H579" s="213"/>
      <c r="I579" s="226"/>
      <c r="J579" s="204"/>
      <c r="K579" s="204"/>
      <c r="L579" s="204"/>
      <c r="N579" s="368"/>
      <c r="O579" s="204"/>
    </row>
    <row r="580" spans="1:15" s="215" customFormat="1">
      <c r="A580" s="214"/>
      <c r="B580" s="218" t="s">
        <v>310</v>
      </c>
      <c r="D580" s="216"/>
      <c r="E580" s="21"/>
      <c r="F580" s="22" t="s">
        <v>128</v>
      </c>
      <c r="G580" s="224"/>
      <c r="H580" s="213"/>
      <c r="I580" s="226"/>
      <c r="J580" s="204"/>
      <c r="K580" s="204"/>
      <c r="L580" s="204"/>
      <c r="N580" s="368"/>
      <c r="O580" s="204"/>
    </row>
    <row r="581" spans="1:15" s="215" customFormat="1" hidden="1">
      <c r="A581" s="214"/>
      <c r="B581" s="218"/>
      <c r="C581" s="215" t="s">
        <v>311</v>
      </c>
      <c r="D581" s="216"/>
      <c r="E581" s="21"/>
      <c r="F581" s="219" t="s">
        <v>128</v>
      </c>
      <c r="G581" s="224"/>
      <c r="H581" s="213">
        <f t="shared" ref="H581:H586" si="60">+L581</f>
        <v>0</v>
      </c>
      <c r="I581" s="226"/>
      <c r="J581" s="204">
        <v>0</v>
      </c>
      <c r="K581" s="204"/>
      <c r="L581" s="204">
        <f t="shared" ref="L581:L586" si="61">+J581+N581-O581</f>
        <v>0</v>
      </c>
      <c r="N581" s="368"/>
      <c r="O581" s="204"/>
    </row>
    <row r="582" spans="1:15" s="215" customFormat="1" hidden="1">
      <c r="A582" s="214"/>
      <c r="B582" s="218"/>
      <c r="C582" s="215" t="s">
        <v>312</v>
      </c>
      <c r="D582" s="216"/>
      <c r="E582" s="21"/>
      <c r="F582" s="219" t="s">
        <v>129</v>
      </c>
      <c r="G582" s="224"/>
      <c r="H582" s="213">
        <f t="shared" si="60"/>
        <v>0</v>
      </c>
      <c r="I582" s="226"/>
      <c r="J582" s="204">
        <v>0</v>
      </c>
      <c r="K582" s="204"/>
      <c r="L582" s="204">
        <f t="shared" si="61"/>
        <v>0</v>
      </c>
      <c r="N582" s="368"/>
      <c r="O582" s="204"/>
    </row>
    <row r="583" spans="1:15" s="215" customFormat="1" hidden="1">
      <c r="A583" s="214"/>
      <c r="B583" s="218"/>
      <c r="C583" s="215" t="s">
        <v>313</v>
      </c>
      <c r="D583" s="216"/>
      <c r="E583" s="21"/>
      <c r="F583" s="219" t="s">
        <v>132</v>
      </c>
      <c r="G583" s="677"/>
      <c r="H583" s="213">
        <f t="shared" si="60"/>
        <v>0</v>
      </c>
      <c r="I583" s="226"/>
      <c r="J583" s="204">
        <v>0</v>
      </c>
      <c r="K583" s="204"/>
      <c r="L583" s="204">
        <f t="shared" si="61"/>
        <v>0</v>
      </c>
      <c r="N583" s="368"/>
      <c r="O583" s="204"/>
    </row>
    <row r="584" spans="1:15" s="215" customFormat="1" hidden="1">
      <c r="A584" s="214"/>
      <c r="B584" s="218"/>
      <c r="C584" s="218" t="s">
        <v>314</v>
      </c>
      <c r="D584" s="216"/>
      <c r="E584" s="21"/>
      <c r="F584" s="219" t="s">
        <v>133</v>
      </c>
      <c r="G584" s="677"/>
      <c r="H584" s="213">
        <f t="shared" si="60"/>
        <v>0</v>
      </c>
      <c r="I584" s="226"/>
      <c r="J584" s="204">
        <v>0</v>
      </c>
      <c r="K584" s="204"/>
      <c r="L584" s="204">
        <f t="shared" si="61"/>
        <v>0</v>
      </c>
      <c r="N584" s="368"/>
      <c r="O584" s="204"/>
    </row>
    <row r="585" spans="1:15" s="215" customFormat="1">
      <c r="A585" s="214"/>
      <c r="B585" s="218"/>
      <c r="C585" s="105" t="s">
        <v>941</v>
      </c>
      <c r="E585" s="21"/>
      <c r="F585" s="219" t="s">
        <v>134</v>
      </c>
      <c r="G585" s="677"/>
      <c r="H585" s="213">
        <f t="shared" si="60"/>
        <v>1323</v>
      </c>
      <c r="I585" s="226"/>
      <c r="J585" s="204">
        <v>1176</v>
      </c>
      <c r="K585" s="204"/>
      <c r="L585" s="204">
        <f t="shared" si="61"/>
        <v>1323</v>
      </c>
      <c r="N585" s="368">
        <v>147</v>
      </c>
      <c r="O585" s="204"/>
    </row>
    <row r="586" spans="1:15" s="215" customFormat="1">
      <c r="A586" s="214"/>
      <c r="B586" s="218"/>
      <c r="C586" s="105" t="s">
        <v>1056</v>
      </c>
      <c r="E586" s="21"/>
      <c r="F586" s="219" t="s">
        <v>135</v>
      </c>
      <c r="G586" s="678"/>
      <c r="H586" s="213">
        <f t="shared" si="60"/>
        <v>8073</v>
      </c>
      <c r="I586" s="226"/>
      <c r="J586" s="204">
        <v>7176</v>
      </c>
      <c r="K586" s="204"/>
      <c r="L586" s="204">
        <f t="shared" si="61"/>
        <v>8073</v>
      </c>
      <c r="N586" s="368">
        <v>897</v>
      </c>
      <c r="O586" s="204"/>
    </row>
    <row r="587" spans="1:15" s="215" customFormat="1">
      <c r="A587" s="214"/>
      <c r="E587" s="23"/>
      <c r="F587" s="222"/>
      <c r="G587" s="224"/>
      <c r="H587" s="220">
        <f>SUM(H581:H586)</f>
        <v>9396</v>
      </c>
      <c r="I587" s="226">
        <f>+G579-H587</f>
        <v>0</v>
      </c>
      <c r="J587" s="204"/>
      <c r="K587" s="204"/>
      <c r="L587" s="204"/>
      <c r="N587" s="368"/>
      <c r="O587" s="204"/>
    </row>
    <row r="588" spans="1:15" s="215" customFormat="1">
      <c r="A588" s="359" t="s">
        <v>108</v>
      </c>
      <c r="E588" s="23">
        <v>955</v>
      </c>
      <c r="F588" s="222"/>
      <c r="G588" s="224">
        <f>+TB!C411</f>
        <v>7217024.1499999994</v>
      </c>
      <c r="H588" s="213">
        <f>+L588</f>
        <v>7217024.1500000004</v>
      </c>
      <c r="I588" s="226">
        <f>+G588-H588</f>
        <v>0</v>
      </c>
      <c r="J588" s="204">
        <v>7088238.4400000004</v>
      </c>
      <c r="K588" s="204"/>
      <c r="L588" s="204">
        <f>+J588+N588-O588</f>
        <v>7217024.1500000004</v>
      </c>
      <c r="N588" s="368">
        <v>128785.71000000002</v>
      </c>
      <c r="O588" s="16">
        <v>0</v>
      </c>
    </row>
    <row r="589" spans="1:15" s="215" customFormat="1" ht="14.25">
      <c r="A589" s="238" t="s">
        <v>73</v>
      </c>
      <c r="B589" s="231"/>
      <c r="C589" s="231"/>
      <c r="D589" s="231"/>
      <c r="E589" s="126">
        <v>969</v>
      </c>
      <c r="F589" s="236"/>
      <c r="G589" s="370">
        <f>+TB!C414</f>
        <v>347250</v>
      </c>
      <c r="H589" s="232">
        <f>+L589</f>
        <v>347250</v>
      </c>
      <c r="I589" s="226">
        <f>+G589-H589</f>
        <v>0</v>
      </c>
      <c r="J589" s="204">
        <v>99500</v>
      </c>
      <c r="K589" s="204"/>
      <c r="L589" s="204">
        <f>+J589+N589-O589</f>
        <v>347250</v>
      </c>
      <c r="N589" s="168">
        <v>247750</v>
      </c>
      <c r="O589" s="168">
        <v>0</v>
      </c>
    </row>
    <row r="590" spans="1:15" s="215" customFormat="1" ht="14.25">
      <c r="A590" s="238" t="s">
        <v>74</v>
      </c>
      <c r="B590" s="231"/>
      <c r="C590" s="231"/>
      <c r="D590" s="231"/>
      <c r="E590" s="126">
        <v>971</v>
      </c>
      <c r="F590" s="236"/>
      <c r="G590" s="237">
        <f>+TB!C415</f>
        <v>0</v>
      </c>
      <c r="H590" s="232">
        <f>+L590</f>
        <v>0</v>
      </c>
      <c r="I590" s="226">
        <f>+G590-H590</f>
        <v>0</v>
      </c>
      <c r="J590" s="204">
        <v>0</v>
      </c>
      <c r="K590" s="204"/>
      <c r="L590" s="204">
        <f>+J590+N590-O590</f>
        <v>0</v>
      </c>
      <c r="N590" s="168"/>
      <c r="O590" s="168"/>
    </row>
    <row r="591" spans="1:15">
      <c r="N591" s="16"/>
    </row>
  </sheetData>
  <sortState ref="B360:P370">
    <sortCondition ref="C319"/>
  </sortState>
  <mergeCells count="6">
    <mergeCell ref="A1:H1"/>
    <mergeCell ref="A2:H2"/>
    <mergeCell ref="A3:H3"/>
    <mergeCell ref="A4:H4"/>
    <mergeCell ref="A7:D7"/>
    <mergeCell ref="E7:F7"/>
  </mergeCells>
  <printOptions horizontalCentered="1"/>
  <pageMargins left="0.34" right="0.34" top="0.35" bottom="0.65" header="0.15" footer="0.26"/>
  <pageSetup paperSize="258" orientation="portrait" r:id="rId1"/>
  <headerFooter>
    <oddFooter>&amp;CPage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2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16" sqref="O16:O21"/>
    </sheetView>
  </sheetViews>
  <sheetFormatPr defaultRowHeight="12.75"/>
  <cols>
    <col min="1" max="1" width="12.140625" style="13" customWidth="1"/>
    <col min="2" max="2" width="12.85546875" style="13" customWidth="1"/>
    <col min="3" max="3" width="32.7109375" style="13" customWidth="1"/>
    <col min="4" max="4" width="23" style="13" customWidth="1"/>
    <col min="5" max="5" width="2.7109375" style="13" customWidth="1"/>
    <col min="6" max="6" width="5" style="13" customWidth="1"/>
    <col min="7" max="7" width="13.28515625" style="13" customWidth="1"/>
    <col min="8" max="8" width="19.7109375" style="13" customWidth="1"/>
    <col min="9" max="9" width="14.28515625" style="13" customWidth="1"/>
    <col min="10" max="10" width="15" style="13" customWidth="1"/>
    <col min="11" max="11" width="14.5703125" style="13" customWidth="1"/>
    <col min="12" max="12" width="13.5703125" style="13" customWidth="1"/>
    <col min="13" max="13" width="14.140625" style="13" customWidth="1"/>
    <col min="14" max="14" width="12.7109375" style="13" bestFit="1" customWidth="1"/>
    <col min="15" max="16" width="12.5703125" style="13" customWidth="1"/>
    <col min="17" max="17" width="12.42578125" style="13" customWidth="1"/>
    <col min="18" max="18" width="13.85546875" style="13" customWidth="1"/>
    <col min="19" max="19" width="12.85546875" style="13" customWidth="1"/>
    <col min="20" max="20" width="8.85546875" style="13" customWidth="1"/>
  </cols>
  <sheetData>
    <row r="1" spans="1:19" ht="15.75">
      <c r="A1" s="724" t="s">
        <v>7</v>
      </c>
      <c r="B1" s="724"/>
      <c r="C1" s="724"/>
      <c r="D1" s="724"/>
      <c r="E1" s="356"/>
    </row>
    <row r="2" spans="1:19" ht="15.75">
      <c r="A2" s="724" t="s">
        <v>84</v>
      </c>
      <c r="B2" s="724"/>
      <c r="C2" s="724"/>
      <c r="D2" s="724"/>
      <c r="E2" s="356"/>
    </row>
    <row r="3" spans="1:19" ht="15">
      <c r="A3" s="738" t="s">
        <v>476</v>
      </c>
      <c r="B3" s="738"/>
      <c r="C3" s="738"/>
      <c r="D3" s="738"/>
      <c r="E3" s="381"/>
    </row>
    <row r="4" spans="1:19" ht="15">
      <c r="A4" s="739" t="str">
        <f>+IS!A5</f>
        <v>For the Period-Ended, September 30, 2012</v>
      </c>
      <c r="B4" s="739"/>
      <c r="C4" s="739"/>
      <c r="D4" s="739"/>
      <c r="E4" s="382"/>
      <c r="F4" s="383"/>
    </row>
    <row r="5" spans="1:19" ht="15">
      <c r="A5" s="384"/>
      <c r="B5" s="384"/>
      <c r="C5" s="384"/>
      <c r="D5" s="384"/>
      <c r="E5" s="382"/>
      <c r="F5" s="383"/>
    </row>
    <row r="6" spans="1:19" ht="15">
      <c r="A6" s="384"/>
      <c r="B6" s="384"/>
      <c r="C6" s="384"/>
      <c r="D6" s="384"/>
      <c r="E6" s="382"/>
      <c r="F6" s="383"/>
    </row>
    <row r="7" spans="1:19" ht="13.5" thickBot="1"/>
    <row r="8" spans="1:19" ht="15" thickBot="1">
      <c r="A8" s="385" t="s">
        <v>477</v>
      </c>
      <c r="B8" s="385" t="s">
        <v>478</v>
      </c>
      <c r="C8" s="385" t="s">
        <v>479</v>
      </c>
      <c r="D8" s="385" t="s">
        <v>480</v>
      </c>
      <c r="E8" s="386"/>
      <c r="G8" s="386" t="s">
        <v>481</v>
      </c>
      <c r="H8" s="386" t="s">
        <v>482</v>
      </c>
      <c r="I8" s="386" t="s">
        <v>483</v>
      </c>
      <c r="J8" s="386" t="s">
        <v>484</v>
      </c>
      <c r="K8" s="386" t="s">
        <v>485</v>
      </c>
      <c r="L8" s="386" t="s">
        <v>486</v>
      </c>
      <c r="M8" s="386" t="s">
        <v>487</v>
      </c>
      <c r="N8" s="386" t="s">
        <v>488</v>
      </c>
      <c r="O8" s="386" t="s">
        <v>489</v>
      </c>
      <c r="P8" s="386" t="s">
        <v>490</v>
      </c>
      <c r="Q8" s="386" t="s">
        <v>491</v>
      </c>
      <c r="R8" s="386" t="s">
        <v>492</v>
      </c>
    </row>
    <row r="9" spans="1:19">
      <c r="A9" s="387" t="s">
        <v>493</v>
      </c>
      <c r="B9" s="388"/>
      <c r="C9" s="388"/>
      <c r="D9" s="388"/>
      <c r="E9" s="389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>
      <c r="A10" s="390" t="s">
        <v>494</v>
      </c>
      <c r="B10" s="391" t="s">
        <v>495</v>
      </c>
      <c r="C10" s="391" t="s">
        <v>430</v>
      </c>
      <c r="D10" s="392">
        <f>SUM(G10:R10)</f>
        <v>118680.55</v>
      </c>
      <c r="E10" s="393"/>
      <c r="G10" s="16"/>
      <c r="H10" s="18"/>
      <c r="I10" s="16"/>
      <c r="J10" s="16">
        <v>59966.89</v>
      </c>
      <c r="L10" s="394"/>
      <c r="M10" s="657">
        <v>58713.66</v>
      </c>
      <c r="N10" s="394"/>
      <c r="O10" s="16"/>
      <c r="P10" s="16"/>
      <c r="R10" s="101"/>
      <c r="S10" s="18"/>
    </row>
    <row r="11" spans="1:19" ht="14.25">
      <c r="A11" s="390"/>
      <c r="B11" s="391"/>
      <c r="C11" s="391"/>
      <c r="D11" s="392"/>
      <c r="E11" s="393"/>
      <c r="G11" s="16"/>
      <c r="H11" s="16"/>
      <c r="I11" s="16"/>
      <c r="J11" s="351"/>
      <c r="K11" s="351"/>
      <c r="L11" s="351"/>
      <c r="M11" s="394"/>
      <c r="N11" s="394"/>
      <c r="O11" s="351"/>
      <c r="P11" s="394"/>
      <c r="Q11" s="16"/>
      <c r="R11" s="168"/>
      <c r="S11" s="18"/>
    </row>
    <row r="12" spans="1:19" ht="14.25">
      <c r="A12" s="395" t="s">
        <v>496</v>
      </c>
      <c r="B12" s="391"/>
      <c r="C12" s="391"/>
      <c r="D12" s="392"/>
      <c r="E12" s="393"/>
      <c r="G12" s="373"/>
      <c r="H12" s="373"/>
      <c r="I12" s="373"/>
      <c r="J12" s="368"/>
      <c r="K12" s="373"/>
      <c r="L12" s="351"/>
      <c r="M12" s="373"/>
      <c r="N12" s="373"/>
      <c r="O12" s="373"/>
      <c r="P12" s="373"/>
      <c r="Q12" s="373"/>
      <c r="R12" s="373"/>
      <c r="S12" s="168"/>
    </row>
    <row r="13" spans="1:19" ht="14.25">
      <c r="A13" s="390" t="s">
        <v>497</v>
      </c>
      <c r="B13" s="391" t="s">
        <v>498</v>
      </c>
      <c r="C13" s="391" t="s">
        <v>1005</v>
      </c>
      <c r="D13" s="392">
        <f t="shared" ref="D13:D19" si="0">SUM(G13:R13)</f>
        <v>31641.279999999995</v>
      </c>
      <c r="E13" s="393"/>
      <c r="G13" s="351">
        <v>3458.3499999999995</v>
      </c>
      <c r="H13" s="168">
        <v>3578.4</v>
      </c>
      <c r="I13" s="351">
        <v>3467.7400000000002</v>
      </c>
      <c r="J13" s="351">
        <v>3472.3599999999997</v>
      </c>
      <c r="K13" s="351">
        <v>3592.8999999999996</v>
      </c>
      <c r="L13" s="351">
        <v>3481.78</v>
      </c>
      <c r="M13" s="351">
        <v>3486.4199999999996</v>
      </c>
      <c r="N13" s="351">
        <v>3607.44</v>
      </c>
      <c r="O13" s="368">
        <v>3495.89</v>
      </c>
      <c r="P13" s="351"/>
      <c r="Q13" s="351"/>
      <c r="R13" s="351"/>
      <c r="S13" s="101"/>
    </row>
    <row r="14" spans="1:19" ht="14.25">
      <c r="A14" s="390" t="s">
        <v>499</v>
      </c>
      <c r="B14" s="391" t="s">
        <v>498</v>
      </c>
      <c r="C14" s="396" t="s">
        <v>1006</v>
      </c>
      <c r="D14" s="392">
        <f t="shared" si="0"/>
        <v>66835.11</v>
      </c>
      <c r="E14" s="393"/>
      <c r="G14" s="12">
        <v>7305</v>
      </c>
      <c r="H14" s="168">
        <v>7558.5699999999988</v>
      </c>
      <c r="I14" s="168">
        <v>7324.8200000000006</v>
      </c>
      <c r="J14" s="351">
        <v>7334.58</v>
      </c>
      <c r="K14" s="351">
        <v>7589.1799999999994</v>
      </c>
      <c r="L14" s="351">
        <v>7354.4900000000007</v>
      </c>
      <c r="M14" s="12">
        <v>7364.2900000000009</v>
      </c>
      <c r="N14" s="16">
        <v>7619.91</v>
      </c>
      <c r="O14" s="368">
        <v>7384.27</v>
      </c>
      <c r="P14" s="16"/>
      <c r="Q14" s="12"/>
      <c r="R14" s="101"/>
    </row>
    <row r="15" spans="1:19">
      <c r="A15" s="390"/>
      <c r="B15" s="391"/>
      <c r="C15" s="391"/>
      <c r="D15" s="392"/>
      <c r="E15" s="393"/>
      <c r="G15" s="12"/>
      <c r="H15" s="12"/>
      <c r="I15" s="12"/>
      <c r="J15" s="351"/>
      <c r="K15" s="351"/>
      <c r="L15" s="351"/>
      <c r="M15" s="368"/>
      <c r="N15" s="12"/>
      <c r="O15" s="12"/>
      <c r="P15" s="12"/>
      <c r="Q15" s="12"/>
    </row>
    <row r="16" spans="1:19">
      <c r="A16" s="390" t="s">
        <v>500</v>
      </c>
      <c r="B16" s="391" t="s">
        <v>495</v>
      </c>
      <c r="C16" s="391" t="s">
        <v>1008</v>
      </c>
      <c r="D16" s="392">
        <f t="shared" si="0"/>
        <v>159687.67999999999</v>
      </c>
      <c r="E16" s="393"/>
      <c r="G16" s="351">
        <v>17453.68</v>
      </c>
      <c r="H16" s="351">
        <v>18059.52</v>
      </c>
      <c r="I16" s="351">
        <v>17501.03</v>
      </c>
      <c r="J16" s="351">
        <v>17524.37</v>
      </c>
      <c r="K16" s="351">
        <v>18132.66</v>
      </c>
      <c r="L16" s="351">
        <v>17571.91</v>
      </c>
      <c r="M16" s="351">
        <v>17595.34</v>
      </c>
      <c r="N16" s="351">
        <v>18206.099999999999</v>
      </c>
      <c r="O16" s="368">
        <v>17643.07</v>
      </c>
      <c r="P16" s="351"/>
      <c r="Q16" s="351"/>
      <c r="R16" s="397"/>
    </row>
    <row r="17" spans="1:20" ht="14.25">
      <c r="A17" s="390" t="s">
        <v>501</v>
      </c>
      <c r="B17" s="391" t="s">
        <v>495</v>
      </c>
      <c r="C17" s="391" t="s">
        <v>1009</v>
      </c>
      <c r="D17" s="392">
        <f t="shared" si="0"/>
        <v>129851.31000000001</v>
      </c>
      <c r="E17" s="393"/>
      <c r="G17" s="168">
        <v>14192.6</v>
      </c>
      <c r="H17" s="168">
        <v>14685.24</v>
      </c>
      <c r="I17" s="168">
        <v>14231.1</v>
      </c>
      <c r="J17" s="351">
        <v>14250.08</v>
      </c>
      <c r="K17" s="351">
        <v>14744.720000000001</v>
      </c>
      <c r="L17" s="351">
        <v>14288.74</v>
      </c>
      <c r="M17" s="351">
        <v>14307.79</v>
      </c>
      <c r="N17" s="351">
        <v>14804.43</v>
      </c>
      <c r="O17" s="368">
        <v>14346.61</v>
      </c>
      <c r="P17" s="351"/>
      <c r="Q17" s="351"/>
      <c r="R17" s="351"/>
    </row>
    <row r="18" spans="1:20" ht="14.25">
      <c r="A18" s="390" t="s">
        <v>502</v>
      </c>
      <c r="B18" s="391" t="s">
        <v>495</v>
      </c>
      <c r="C18" s="391" t="s">
        <v>1010</v>
      </c>
      <c r="D18" s="392">
        <f t="shared" si="0"/>
        <v>129851.31000000001</v>
      </c>
      <c r="E18" s="393"/>
      <c r="G18" s="168">
        <v>14192.6</v>
      </c>
      <c r="H18" s="168">
        <v>14685.24</v>
      </c>
      <c r="I18" s="168">
        <v>14231.1</v>
      </c>
      <c r="J18" s="351">
        <v>14250.08</v>
      </c>
      <c r="K18" s="351">
        <v>14744.720000000001</v>
      </c>
      <c r="L18" s="351">
        <v>14288.74</v>
      </c>
      <c r="M18" s="351">
        <v>14307.79</v>
      </c>
      <c r="N18" s="351">
        <v>14804.43</v>
      </c>
      <c r="O18" s="368">
        <v>14346.61</v>
      </c>
      <c r="P18" s="351"/>
      <c r="Q18" s="351"/>
      <c r="R18" s="351"/>
    </row>
    <row r="19" spans="1:20" ht="14.25">
      <c r="A19" s="390" t="s">
        <v>503</v>
      </c>
      <c r="B19" s="391" t="s">
        <v>495</v>
      </c>
      <c r="C19" s="391" t="s">
        <v>1011</v>
      </c>
      <c r="D19" s="392">
        <f t="shared" si="0"/>
        <v>126657.05</v>
      </c>
      <c r="E19" s="393"/>
      <c r="G19" s="16">
        <v>14304.920000000002</v>
      </c>
      <c r="H19" s="16">
        <v>13862.54</v>
      </c>
      <c r="I19" s="16">
        <v>13881.019999999999</v>
      </c>
      <c r="J19" s="168">
        <v>14362.86</v>
      </c>
      <c r="K19" s="168">
        <v>13918.69</v>
      </c>
      <c r="L19" s="168">
        <v>13937.250000000002</v>
      </c>
      <c r="M19" s="351">
        <v>14421.019999999999</v>
      </c>
      <c r="N19" s="351">
        <v>27968.75</v>
      </c>
      <c r="O19" s="368"/>
      <c r="P19" s="351"/>
      <c r="Q19" s="351"/>
      <c r="R19" s="351"/>
    </row>
    <row r="20" spans="1:20" ht="14.25">
      <c r="A20" s="390" t="s">
        <v>504</v>
      </c>
      <c r="B20" s="391" t="s">
        <v>495</v>
      </c>
      <c r="C20" s="391" t="s">
        <v>1012</v>
      </c>
      <c r="D20" s="392">
        <f>SUM(G20:R20)</f>
        <v>190751.91</v>
      </c>
      <c r="E20" s="393"/>
      <c r="G20" s="16">
        <v>20696.53</v>
      </c>
      <c r="H20" s="16">
        <v>21414.93</v>
      </c>
      <c r="I20" s="16">
        <v>20752.68</v>
      </c>
      <c r="J20" s="168">
        <v>20780.349999999999</v>
      </c>
      <c r="K20" s="168">
        <v>21501.66</v>
      </c>
      <c r="L20" s="168">
        <v>20836.73</v>
      </c>
      <c r="M20" s="351">
        <v>20864.5</v>
      </c>
      <c r="N20" s="351">
        <v>22981.56</v>
      </c>
      <c r="O20" s="368">
        <v>20922.97</v>
      </c>
      <c r="P20" s="351"/>
      <c r="Q20" s="351"/>
      <c r="R20" s="351"/>
    </row>
    <row r="21" spans="1:20">
      <c r="A21" s="390" t="s">
        <v>1126</v>
      </c>
      <c r="B21" s="391" t="s">
        <v>495</v>
      </c>
      <c r="C21" s="391" t="s">
        <v>1120</v>
      </c>
      <c r="D21" s="392">
        <f>SUM(G21:R21)</f>
        <v>135476.67000000001</v>
      </c>
      <c r="E21" s="393"/>
      <c r="H21" s="16"/>
      <c r="I21" s="16"/>
      <c r="J21" s="16"/>
      <c r="K21" s="16">
        <v>26666.660000000003</v>
      </c>
      <c r="L21" s="16">
        <v>27592.300000000003</v>
      </c>
      <c r="M21" s="16">
        <v>26739.010000000002</v>
      </c>
      <c r="N21" s="16">
        <v>26774.660000000003</v>
      </c>
      <c r="O21" s="16">
        <v>27704.04</v>
      </c>
      <c r="R21" s="351"/>
    </row>
    <row r="22" spans="1:20" ht="14.25">
      <c r="A22" s="390"/>
      <c r="B22" s="391"/>
      <c r="C22" s="391"/>
      <c r="D22" s="392"/>
      <c r="E22" s="393"/>
      <c r="G22" s="398"/>
      <c r="I22" s="16"/>
      <c r="J22" s="168"/>
      <c r="K22" s="168"/>
      <c r="L22" s="16"/>
      <c r="M22" s="373"/>
      <c r="N22" s="16"/>
      <c r="O22" s="16"/>
      <c r="P22" s="168"/>
      <c r="Q22" s="16"/>
      <c r="R22" s="16"/>
    </row>
    <row r="23" spans="1:20">
      <c r="A23" s="390"/>
      <c r="B23" s="391"/>
      <c r="C23" s="391"/>
      <c r="D23" s="392"/>
      <c r="E23" s="393"/>
      <c r="H23" s="16"/>
      <c r="K23" s="16"/>
      <c r="L23" s="16"/>
      <c r="M23" s="16"/>
      <c r="N23" s="16"/>
      <c r="O23" s="16"/>
      <c r="P23" s="16"/>
      <c r="Q23" s="16"/>
      <c r="R23" s="16"/>
    </row>
    <row r="24" spans="1:20">
      <c r="A24" s="399"/>
      <c r="B24" s="399"/>
      <c r="C24" s="399"/>
      <c r="D24" s="400"/>
      <c r="E24" s="393"/>
      <c r="H24" s="16"/>
      <c r="K24" s="16"/>
      <c r="R24" s="16"/>
    </row>
    <row r="25" spans="1:20" s="66" customFormat="1" ht="15" thickBot="1">
      <c r="A25" s="401"/>
      <c r="B25" s="402" t="s">
        <v>246</v>
      </c>
      <c r="C25" s="401"/>
      <c r="D25" s="403">
        <f>SUM(D10:D23)</f>
        <v>1089432.8700000001</v>
      </c>
      <c r="E25" s="404"/>
      <c r="F25" s="67"/>
      <c r="G25" s="67"/>
      <c r="H25" s="67"/>
      <c r="I25" s="67"/>
      <c r="J25" s="67"/>
      <c r="K25" s="67"/>
      <c r="L25" s="404"/>
      <c r="M25" s="67"/>
      <c r="N25" s="67"/>
      <c r="O25" s="67"/>
      <c r="P25" s="67"/>
      <c r="Q25" s="67"/>
      <c r="R25" s="67"/>
      <c r="S25" s="67"/>
      <c r="T25" s="67"/>
    </row>
    <row r="26" spans="1:20">
      <c r="G26" s="18">
        <f>SUM(G10:G22)</f>
        <v>91603.68</v>
      </c>
      <c r="H26" s="18">
        <f>SUM(H10:H22)</f>
        <v>93844.44</v>
      </c>
      <c r="I26" s="18">
        <f>SUM(I10:I22)</f>
        <v>91389.489999999991</v>
      </c>
      <c r="J26" s="18">
        <f>SUM(J10:J22)</f>
        <v>151941.57</v>
      </c>
      <c r="K26" s="18">
        <f>SUM(K10:K23)</f>
        <v>120891.19</v>
      </c>
      <c r="L26" s="18">
        <f>SUM(L10:L25)</f>
        <v>119351.94</v>
      </c>
      <c r="M26" s="18">
        <f t="shared" ref="M26:R26" si="1">SUM(M10:M25)</f>
        <v>177799.82</v>
      </c>
      <c r="N26" s="18">
        <f t="shared" si="1"/>
        <v>136767.28</v>
      </c>
      <c r="O26" s="18">
        <f t="shared" si="1"/>
        <v>105843.45999999999</v>
      </c>
      <c r="P26" s="18">
        <f t="shared" si="1"/>
        <v>0</v>
      </c>
      <c r="Q26" s="18">
        <f t="shared" si="1"/>
        <v>0</v>
      </c>
      <c r="R26" s="18">
        <f t="shared" si="1"/>
        <v>0</v>
      </c>
    </row>
    <row r="27" spans="1:20" ht="14.25">
      <c r="H27" s="522"/>
      <c r="I27" s="517"/>
      <c r="J27" s="522"/>
      <c r="K27" s="522"/>
      <c r="L27" s="168"/>
      <c r="M27" s="168">
        <v>177799.82</v>
      </c>
      <c r="N27" s="168">
        <v>136767.28</v>
      </c>
      <c r="O27" s="168"/>
      <c r="P27" s="168"/>
      <c r="Q27" s="168"/>
      <c r="R27" s="522"/>
    </row>
    <row r="28" spans="1:20">
      <c r="G28" s="16">
        <f>+G26-G27</f>
        <v>91603.68</v>
      </c>
      <c r="H28" s="16">
        <f t="shared" ref="H28:R28" si="2">+H26-H27</f>
        <v>93844.44</v>
      </c>
      <c r="I28" s="16">
        <f t="shared" si="2"/>
        <v>91389.489999999991</v>
      </c>
      <c r="J28" s="16">
        <f>+J26-J27</f>
        <v>151941.57</v>
      </c>
      <c r="K28" s="16">
        <f t="shared" si="2"/>
        <v>120891.19</v>
      </c>
      <c r="L28" s="16">
        <f t="shared" si="2"/>
        <v>119351.94</v>
      </c>
      <c r="M28" s="16">
        <f t="shared" si="2"/>
        <v>0</v>
      </c>
      <c r="N28" s="16">
        <f t="shared" si="2"/>
        <v>0</v>
      </c>
      <c r="O28" s="16">
        <f t="shared" si="2"/>
        <v>105843.45999999999</v>
      </c>
      <c r="P28" s="16">
        <f t="shared" si="2"/>
        <v>0</v>
      </c>
      <c r="Q28" s="16">
        <f t="shared" si="2"/>
        <v>0</v>
      </c>
      <c r="R28" s="16">
        <f t="shared" si="2"/>
        <v>0</v>
      </c>
    </row>
    <row r="29" spans="1:20">
      <c r="D29" s="16"/>
      <c r="I29" s="16">
        <f>+D25-IS!F84</f>
        <v>0</v>
      </c>
      <c r="P29" s="16"/>
      <c r="Q29" s="16"/>
      <c r="R29" s="16"/>
    </row>
    <row r="30" spans="1:20">
      <c r="D30" s="203"/>
      <c r="G30" s="16"/>
      <c r="R30" s="18"/>
    </row>
    <row r="31" spans="1:20">
      <c r="D31" s="203">
        <f>+D25-TB!E244</f>
        <v>0</v>
      </c>
    </row>
    <row r="32" spans="1:20">
      <c r="D32" s="142"/>
    </row>
    <row r="45" spans="1:19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8" spans="1:19">
      <c r="A48" s="14"/>
      <c r="B48" s="14"/>
      <c r="C48" s="14"/>
      <c r="D48" s="14"/>
      <c r="E48" s="14"/>
    </row>
    <row r="53" spans="8:10" ht="13.5" thickBot="1"/>
    <row r="54" spans="8:10" ht="15.75">
      <c r="H54" s="740" t="s">
        <v>7</v>
      </c>
      <c r="I54" s="741"/>
      <c r="J54" s="742"/>
    </row>
    <row r="55" spans="8:10" ht="15.75">
      <c r="H55" s="743" t="s">
        <v>1047</v>
      </c>
      <c r="I55" s="735"/>
      <c r="J55" s="744"/>
    </row>
    <row r="56" spans="8:10" ht="15.75">
      <c r="H56" s="743" t="s">
        <v>1048</v>
      </c>
      <c r="I56" s="735"/>
      <c r="J56" s="744"/>
    </row>
    <row r="57" spans="8:10" ht="16.5" thickBot="1">
      <c r="H57" s="745" t="s">
        <v>1049</v>
      </c>
      <c r="I57" s="746"/>
      <c r="J57" s="747"/>
    </row>
    <row r="90" spans="1:20">
      <c r="A90" s="405"/>
      <c r="B90" s="405"/>
      <c r="C90" s="405"/>
      <c r="D90" s="405"/>
      <c r="E90" s="405"/>
    </row>
    <row r="91" spans="1:20">
      <c r="A91" s="405"/>
      <c r="B91" s="405"/>
      <c r="C91" s="405"/>
      <c r="D91" s="405"/>
      <c r="E91" s="405"/>
    </row>
    <row r="92" spans="1:20">
      <c r="A92" s="405"/>
      <c r="B92" s="405"/>
      <c r="C92" s="405"/>
      <c r="D92" s="405"/>
      <c r="E92" s="405"/>
    </row>
    <row r="93" spans="1:20">
      <c r="A93" s="26"/>
      <c r="B93" s="26"/>
      <c r="C93" s="26"/>
      <c r="D93" s="26"/>
      <c r="E93" s="26"/>
    </row>
    <row r="94" spans="1:20">
      <c r="A94" s="200"/>
      <c r="T94" s="155"/>
    </row>
    <row r="95" spans="1:20">
      <c r="A95" s="200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26"/>
    </row>
    <row r="96" spans="1:20">
      <c r="A96" s="200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20">
      <c r="A97" s="406"/>
    </row>
    <row r="98" spans="1:20">
      <c r="A98" s="407"/>
      <c r="B98" s="14"/>
      <c r="C98" s="14"/>
      <c r="D98" s="14"/>
      <c r="E98" s="14"/>
    </row>
    <row r="99" spans="1:20">
      <c r="A99" s="406"/>
    </row>
    <row r="100" spans="1:20">
      <c r="A100" s="406"/>
    </row>
    <row r="101" spans="1:20">
      <c r="A101" s="406"/>
    </row>
    <row r="102" spans="1:20">
      <c r="A102" s="406"/>
    </row>
    <row r="103" spans="1:20">
      <c r="A103" s="406"/>
      <c r="T103" s="379"/>
    </row>
    <row r="104" spans="1:20">
      <c r="A104" s="406"/>
      <c r="F104" s="379"/>
      <c r="G104" s="379"/>
      <c r="H104" s="379"/>
      <c r="I104" s="731"/>
      <c r="J104" s="731"/>
      <c r="K104" s="731"/>
      <c r="L104" s="731"/>
      <c r="M104" s="731"/>
      <c r="N104" s="731"/>
      <c r="O104" s="731"/>
      <c r="P104" s="731"/>
      <c r="Q104" s="379"/>
      <c r="R104" s="379"/>
      <c r="S104" s="379"/>
    </row>
    <row r="105" spans="1:20">
      <c r="A105" s="406"/>
      <c r="T105" s="379"/>
    </row>
    <row r="106" spans="1:20">
      <c r="A106" s="406"/>
      <c r="F106" s="379"/>
      <c r="G106" s="379"/>
      <c r="H106" s="379"/>
      <c r="I106" s="731"/>
      <c r="J106" s="731"/>
      <c r="K106" s="731"/>
      <c r="L106" s="731"/>
      <c r="M106" s="731"/>
      <c r="N106" s="731"/>
      <c r="O106" s="731"/>
      <c r="P106" s="731"/>
      <c r="Q106" s="379"/>
      <c r="R106" s="379"/>
      <c r="S106" s="379"/>
      <c r="T106" s="379"/>
    </row>
    <row r="107" spans="1:20">
      <c r="A107" s="406"/>
      <c r="F107" s="379"/>
      <c r="G107" s="379"/>
      <c r="H107" s="379"/>
      <c r="I107" s="731"/>
      <c r="J107" s="731"/>
      <c r="K107" s="731"/>
      <c r="L107" s="731"/>
      <c r="M107" s="731"/>
      <c r="N107" s="731"/>
      <c r="O107" s="731"/>
      <c r="P107" s="731"/>
      <c r="Q107" s="379"/>
      <c r="R107" s="379"/>
      <c r="S107" s="379"/>
      <c r="T107" s="26"/>
    </row>
    <row r="108" spans="1:20">
      <c r="A108" s="40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408"/>
    </row>
    <row r="109" spans="1:20">
      <c r="A109" s="406"/>
      <c r="F109" s="409"/>
      <c r="G109" s="410"/>
      <c r="H109" s="410"/>
      <c r="I109" s="411"/>
      <c r="J109" s="26"/>
      <c r="K109" s="26"/>
      <c r="L109" s="26"/>
      <c r="M109" s="408"/>
      <c r="N109" s="409"/>
      <c r="O109" s="410"/>
      <c r="P109" s="410"/>
      <c r="Q109" s="411"/>
      <c r="R109" s="26"/>
      <c r="S109" s="26"/>
      <c r="T109" s="26"/>
    </row>
    <row r="110" spans="1:20">
      <c r="A110" s="40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>
      <c r="A111" s="40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>
      <c r="A112" s="40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>
      <c r="A113" s="40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>
      <c r="A114" s="40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>
      <c r="A115" s="40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20">
      <c r="A116" s="26"/>
      <c r="B116" s="26"/>
      <c r="C116" s="26"/>
      <c r="D116" s="26"/>
      <c r="E116" s="26"/>
    </row>
    <row r="117" spans="1:20">
      <c r="A117" s="26"/>
      <c r="B117" s="26"/>
      <c r="C117" s="26"/>
      <c r="D117" s="26"/>
      <c r="E117" s="26"/>
    </row>
    <row r="118" spans="1:20">
      <c r="A118" s="406"/>
    </row>
    <row r="119" spans="1:20">
      <c r="A119" s="406"/>
    </row>
    <row r="120" spans="1:20">
      <c r="A120" s="406"/>
    </row>
    <row r="121" spans="1:20">
      <c r="A121" s="406"/>
    </row>
    <row r="122" spans="1:20">
      <c r="A122" s="412"/>
    </row>
    <row r="123" spans="1:20">
      <c r="A123" s="406"/>
    </row>
    <row r="124" spans="1:20">
      <c r="A124" s="406"/>
    </row>
    <row r="125" spans="1:20">
      <c r="A125" s="406"/>
      <c r="B125" s="26"/>
      <c r="C125" s="26"/>
      <c r="D125" s="26"/>
      <c r="E125" s="26"/>
    </row>
    <row r="126" spans="1:20">
      <c r="A126" s="406"/>
    </row>
    <row r="127" spans="1:20">
      <c r="A127" s="406"/>
    </row>
    <row r="128" spans="1:20">
      <c r="A128" s="406"/>
    </row>
    <row r="129" spans="1:20">
      <c r="A129" s="406"/>
    </row>
    <row r="130" spans="1:20">
      <c r="A130" s="406"/>
    </row>
    <row r="131" spans="1:20">
      <c r="A131" s="412"/>
    </row>
    <row r="132" spans="1:20">
      <c r="A132" s="406"/>
    </row>
    <row r="133" spans="1:20">
      <c r="A133" s="406"/>
    </row>
    <row r="134" spans="1:20">
      <c r="A134" s="406"/>
    </row>
    <row r="135" spans="1:20">
      <c r="A135" s="406"/>
    </row>
    <row r="136" spans="1:20">
      <c r="A136" s="406"/>
    </row>
    <row r="137" spans="1:20">
      <c r="A137" s="406"/>
    </row>
    <row r="138" spans="1:20">
      <c r="A138" s="406"/>
    </row>
    <row r="139" spans="1:20">
      <c r="A139" s="406"/>
      <c r="T139" s="26"/>
    </row>
    <row r="140" spans="1:20">
      <c r="A140" s="40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20">
      <c r="A141" s="406"/>
    </row>
    <row r="142" spans="1:20">
      <c r="A142" s="406"/>
    </row>
    <row r="143" spans="1:20">
      <c r="A143" s="406"/>
    </row>
    <row r="144" spans="1:20">
      <c r="A144" s="406"/>
      <c r="T144" s="14"/>
    </row>
    <row r="145" spans="1:19">
      <c r="A145" s="406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406"/>
    </row>
    <row r="147" spans="1:19">
      <c r="A147" s="406"/>
    </row>
    <row r="148" spans="1:19">
      <c r="A148" s="407"/>
      <c r="B148" s="14"/>
      <c r="C148" s="14"/>
      <c r="D148" s="14"/>
      <c r="E148" s="14"/>
    </row>
    <row r="149" spans="1:19">
      <c r="A149" s="406"/>
    </row>
    <row r="150" spans="1:19">
      <c r="A150" s="406"/>
    </row>
    <row r="151" spans="1:19">
      <c r="A151" s="406"/>
    </row>
    <row r="152" spans="1:19">
      <c r="A152" s="406"/>
    </row>
    <row r="153" spans="1:19">
      <c r="A153" s="406"/>
    </row>
    <row r="154" spans="1:19">
      <c r="A154" s="406"/>
    </row>
    <row r="155" spans="1:19">
      <c r="A155" s="406"/>
    </row>
    <row r="156" spans="1:19">
      <c r="A156" s="406"/>
    </row>
    <row r="157" spans="1:19">
      <c r="A157" s="406"/>
    </row>
    <row r="158" spans="1:19">
      <c r="A158" s="191"/>
    </row>
    <row r="159" spans="1:19">
      <c r="A159" s="406"/>
    </row>
    <row r="160" spans="1:19">
      <c r="A160" s="406"/>
    </row>
    <row r="161" spans="1:5">
      <c r="A161" s="406"/>
    </row>
    <row r="162" spans="1:5">
      <c r="A162" s="406"/>
    </row>
    <row r="163" spans="1:5">
      <c r="A163" s="406"/>
    </row>
    <row r="164" spans="1:5">
      <c r="A164" s="406"/>
    </row>
    <row r="165" spans="1:5">
      <c r="A165" s="406"/>
    </row>
    <row r="166" spans="1:5">
      <c r="A166" s="406"/>
    </row>
    <row r="167" spans="1:5">
      <c r="A167" s="406"/>
    </row>
    <row r="168" spans="1:5">
      <c r="A168" s="406"/>
    </row>
    <row r="169" spans="1:5">
      <c r="A169" s="406"/>
    </row>
    <row r="170" spans="1:5">
      <c r="A170" s="407"/>
      <c r="B170" s="14"/>
      <c r="C170" s="14"/>
      <c r="D170" s="14"/>
      <c r="E170" s="14"/>
    </row>
    <row r="171" spans="1:5">
      <c r="A171" s="406"/>
    </row>
    <row r="172" spans="1:5">
      <c r="A172" s="406"/>
    </row>
    <row r="173" spans="1:5">
      <c r="A173" s="406"/>
    </row>
    <row r="174" spans="1:5">
      <c r="A174" s="406"/>
    </row>
    <row r="175" spans="1:5">
      <c r="A175" s="406"/>
    </row>
    <row r="176" spans="1:5">
      <c r="A176" s="406"/>
    </row>
    <row r="177" spans="1:20">
      <c r="A177" s="406"/>
    </row>
    <row r="178" spans="1:20">
      <c r="A178" s="406"/>
    </row>
    <row r="179" spans="1:20">
      <c r="A179" s="406"/>
    </row>
    <row r="180" spans="1:20">
      <c r="A180" s="406"/>
    </row>
    <row r="181" spans="1:20">
      <c r="A181" s="406"/>
    </row>
    <row r="182" spans="1:20">
      <c r="A182" s="406"/>
    </row>
    <row r="183" spans="1:20">
      <c r="A183" s="406"/>
    </row>
    <row r="184" spans="1:20">
      <c r="A184" s="406"/>
    </row>
    <row r="185" spans="1:20">
      <c r="A185" s="406"/>
    </row>
    <row r="186" spans="1:20">
      <c r="A186" s="406"/>
    </row>
    <row r="187" spans="1:20">
      <c r="A187" s="406"/>
      <c r="T187" s="14"/>
    </row>
    <row r="188" spans="1:20">
      <c r="A188" s="406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20">
      <c r="A189" s="406"/>
    </row>
    <row r="190" spans="1:20">
      <c r="A190" s="406"/>
    </row>
    <row r="191" spans="1:20">
      <c r="A191" s="406"/>
    </row>
    <row r="192" spans="1:20">
      <c r="A192" s="406"/>
    </row>
    <row r="193" spans="1:20">
      <c r="A193" s="406"/>
    </row>
    <row r="194" spans="1:20">
      <c r="A194" s="406"/>
      <c r="T194" s="14"/>
    </row>
    <row r="195" spans="1:20">
      <c r="A195" s="406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20">
      <c r="A196" s="406"/>
    </row>
    <row r="197" spans="1:20">
      <c r="A197" s="406"/>
    </row>
    <row r="198" spans="1:20">
      <c r="A198" s="407"/>
      <c r="B198" s="14"/>
      <c r="C198" s="14"/>
      <c r="D198" s="14"/>
      <c r="E198" s="14"/>
    </row>
    <row r="199" spans="1:20">
      <c r="A199" s="406"/>
    </row>
    <row r="200" spans="1:20">
      <c r="A200" s="406"/>
    </row>
    <row r="201" spans="1:20">
      <c r="A201" s="406"/>
    </row>
    <row r="202" spans="1:20">
      <c r="A202" s="406"/>
    </row>
    <row r="203" spans="1:20">
      <c r="A203" s="406"/>
    </row>
    <row r="204" spans="1:20">
      <c r="A204" s="406"/>
    </row>
    <row r="205" spans="1:20">
      <c r="A205" s="406"/>
    </row>
    <row r="206" spans="1:20">
      <c r="A206" s="406"/>
    </row>
    <row r="207" spans="1:20">
      <c r="A207" s="406"/>
    </row>
    <row r="208" spans="1:20">
      <c r="A208" s="406"/>
    </row>
    <row r="209" spans="1:5">
      <c r="A209" s="406"/>
    </row>
    <row r="210" spans="1:5">
      <c r="A210" s="406"/>
    </row>
    <row r="211" spans="1:5">
      <c r="A211" s="406"/>
    </row>
    <row r="212" spans="1:5">
      <c r="A212" s="406"/>
    </row>
    <row r="213" spans="1:5">
      <c r="A213" s="406"/>
    </row>
    <row r="214" spans="1:5">
      <c r="A214" s="406"/>
    </row>
    <row r="215" spans="1:5">
      <c r="A215" s="406"/>
    </row>
    <row r="216" spans="1:5">
      <c r="A216" s="406"/>
    </row>
    <row r="217" spans="1:5">
      <c r="A217" s="406"/>
    </row>
    <row r="218" spans="1:5">
      <c r="A218" s="406"/>
    </row>
    <row r="219" spans="1:5">
      <c r="A219" s="406"/>
    </row>
    <row r="220" spans="1:5">
      <c r="A220" s="406"/>
    </row>
    <row r="221" spans="1:5">
      <c r="A221" s="406"/>
    </row>
    <row r="222" spans="1:5">
      <c r="A222" s="406"/>
    </row>
    <row r="223" spans="1:5">
      <c r="A223" s="407"/>
      <c r="B223" s="14"/>
      <c r="C223" s="14"/>
      <c r="D223" s="14"/>
      <c r="E223" s="14"/>
    </row>
    <row r="224" spans="1:5">
      <c r="A224" s="406"/>
    </row>
    <row r="225" spans="1:20">
      <c r="A225" s="406"/>
    </row>
    <row r="226" spans="1:20">
      <c r="A226" s="406"/>
    </row>
    <row r="227" spans="1:20">
      <c r="A227" s="406"/>
    </row>
    <row r="228" spans="1:20">
      <c r="A228" s="406"/>
    </row>
    <row r="229" spans="1:20">
      <c r="A229" s="406"/>
    </row>
    <row r="230" spans="1:20">
      <c r="A230" s="406"/>
    </row>
    <row r="231" spans="1:20">
      <c r="A231" s="406"/>
    </row>
    <row r="232" spans="1:20">
      <c r="A232" s="406"/>
    </row>
    <row r="233" spans="1:20">
      <c r="A233" s="406"/>
    </row>
    <row r="234" spans="1:20">
      <c r="A234" s="406"/>
    </row>
    <row r="235" spans="1:20">
      <c r="A235" s="406"/>
    </row>
    <row r="236" spans="1:20">
      <c r="A236" s="406"/>
    </row>
    <row r="237" spans="1:20">
      <c r="A237" s="406"/>
    </row>
    <row r="238" spans="1:20">
      <c r="A238" s="406"/>
    </row>
    <row r="239" spans="1:20">
      <c r="A239" s="406"/>
    </row>
    <row r="240" spans="1:20">
      <c r="A240" s="406"/>
      <c r="T240" s="14"/>
    </row>
    <row r="241" spans="1:20">
      <c r="A241" s="406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20">
      <c r="A242" s="406"/>
    </row>
    <row r="243" spans="1:20">
      <c r="A243" s="406"/>
    </row>
    <row r="244" spans="1:20">
      <c r="A244" s="406"/>
      <c r="T244" s="14"/>
    </row>
    <row r="245" spans="1:20">
      <c r="A245" s="406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20">
      <c r="A246" s="406"/>
    </row>
    <row r="247" spans="1:20">
      <c r="A247" s="406"/>
    </row>
    <row r="248" spans="1:20">
      <c r="A248" s="407"/>
      <c r="B248" s="14"/>
      <c r="C248" s="14"/>
      <c r="D248" s="14"/>
      <c r="E248" s="14"/>
    </row>
    <row r="249" spans="1:20">
      <c r="A249" s="406"/>
    </row>
    <row r="250" spans="1:20">
      <c r="A250" s="406"/>
    </row>
    <row r="251" spans="1:20">
      <c r="A251" s="406"/>
    </row>
    <row r="252" spans="1:20">
      <c r="A252" s="406"/>
    </row>
    <row r="253" spans="1:20">
      <c r="A253" s="406"/>
    </row>
    <row r="254" spans="1:20">
      <c r="A254" s="406"/>
    </row>
    <row r="255" spans="1:20">
      <c r="A255" s="406"/>
    </row>
    <row r="256" spans="1:20">
      <c r="A256" s="406"/>
    </row>
    <row r="257" spans="1:1">
      <c r="A257" s="406"/>
    </row>
    <row r="258" spans="1:1">
      <c r="A258" s="406"/>
    </row>
    <row r="259" spans="1:1">
      <c r="A259" s="406"/>
    </row>
    <row r="260" spans="1:1">
      <c r="A260" s="406"/>
    </row>
    <row r="261" spans="1:1">
      <c r="A261" s="200"/>
    </row>
    <row r="262" spans="1:1">
      <c r="A262" s="200"/>
    </row>
    <row r="263" spans="1:1">
      <c r="A263" s="406"/>
    </row>
    <row r="264" spans="1:1">
      <c r="A264" s="406"/>
    </row>
    <row r="265" spans="1:1">
      <c r="A265" s="406"/>
    </row>
    <row r="266" spans="1:1">
      <c r="A266" s="406"/>
    </row>
    <row r="267" spans="1:1">
      <c r="A267" s="406"/>
    </row>
    <row r="268" spans="1:1">
      <c r="A268" s="406"/>
    </row>
    <row r="269" spans="1:1">
      <c r="A269" s="406"/>
    </row>
    <row r="270" spans="1:1">
      <c r="A270" s="406"/>
    </row>
    <row r="271" spans="1:1">
      <c r="A271" s="200"/>
    </row>
    <row r="272" spans="1:1">
      <c r="A272" s="200"/>
    </row>
    <row r="273" spans="1:5">
      <c r="A273" s="200"/>
    </row>
    <row r="274" spans="1:5">
      <c r="A274" s="200"/>
    </row>
    <row r="275" spans="1:5">
      <c r="A275" s="200"/>
    </row>
    <row r="276" spans="1:5">
      <c r="A276" s="200"/>
      <c r="B276" s="14"/>
      <c r="C276" s="14"/>
      <c r="D276" s="14"/>
      <c r="E276" s="14"/>
    </row>
    <row r="277" spans="1:5">
      <c r="A277" s="200"/>
    </row>
    <row r="278" spans="1:5">
      <c r="A278" s="200"/>
    </row>
    <row r="279" spans="1:5">
      <c r="A279" s="200"/>
    </row>
    <row r="280" spans="1:5">
      <c r="A280" s="200"/>
    </row>
    <row r="281" spans="1:5">
      <c r="A281" s="200"/>
    </row>
    <row r="282" spans="1:5">
      <c r="A282" s="200"/>
    </row>
    <row r="283" spans="1:5">
      <c r="A283" s="200"/>
    </row>
    <row r="284" spans="1:5">
      <c r="A284" s="200"/>
    </row>
    <row r="285" spans="1:5">
      <c r="A285" s="200"/>
    </row>
    <row r="286" spans="1:5">
      <c r="A286" s="200"/>
    </row>
    <row r="287" spans="1:5">
      <c r="A287" s="200"/>
    </row>
    <row r="288" spans="1:5">
      <c r="A288" s="200"/>
    </row>
    <row r="289" spans="1:20">
      <c r="A289" s="200"/>
    </row>
    <row r="290" spans="1:20">
      <c r="A290" s="200"/>
    </row>
    <row r="291" spans="1:20">
      <c r="A291" s="200"/>
      <c r="T291" s="14"/>
    </row>
    <row r="292" spans="1:20">
      <c r="A292" s="200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20">
      <c r="A293" s="200"/>
    </row>
    <row r="294" spans="1:20">
      <c r="A294" s="200"/>
      <c r="T294" s="14"/>
    </row>
    <row r="295" spans="1:20">
      <c r="A295" s="200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20">
      <c r="A296" s="200"/>
    </row>
    <row r="297" spans="1:20">
      <c r="A297" s="200"/>
    </row>
    <row r="298" spans="1:20">
      <c r="A298" s="200"/>
      <c r="B298" s="14"/>
      <c r="C298" s="14"/>
      <c r="D298" s="14"/>
      <c r="E298" s="14"/>
    </row>
    <row r="299" spans="1:20">
      <c r="A299" s="406"/>
    </row>
    <row r="300" spans="1:20">
      <c r="A300" s="406"/>
    </row>
    <row r="301" spans="1:20">
      <c r="A301" s="406"/>
    </row>
    <row r="302" spans="1:20">
      <c r="A302" s="406"/>
    </row>
    <row r="303" spans="1:20">
      <c r="A303" s="406"/>
    </row>
    <row r="304" spans="1:20">
      <c r="A304" s="406"/>
    </row>
    <row r="305" spans="1:1">
      <c r="A305" s="406"/>
    </row>
    <row r="306" spans="1:1">
      <c r="A306" s="406"/>
    </row>
    <row r="307" spans="1:1">
      <c r="A307" s="406"/>
    </row>
    <row r="308" spans="1:1">
      <c r="A308" s="406"/>
    </row>
    <row r="309" spans="1:1">
      <c r="A309" s="406"/>
    </row>
    <row r="310" spans="1:1">
      <c r="A310" s="406"/>
    </row>
    <row r="311" spans="1:1">
      <c r="A311" s="406"/>
    </row>
    <row r="312" spans="1:1">
      <c r="A312" s="406"/>
    </row>
    <row r="313" spans="1:1">
      <c r="A313" s="406"/>
    </row>
    <row r="314" spans="1:1">
      <c r="A314" s="406"/>
    </row>
    <row r="315" spans="1:1">
      <c r="A315" s="406"/>
    </row>
    <row r="316" spans="1:1">
      <c r="A316" s="406"/>
    </row>
    <row r="317" spans="1:1">
      <c r="A317" s="406"/>
    </row>
    <row r="318" spans="1:1">
      <c r="A318" s="406"/>
    </row>
    <row r="319" spans="1:1">
      <c r="A319" s="406"/>
    </row>
    <row r="320" spans="1:1">
      <c r="A320" s="406"/>
    </row>
    <row r="321" spans="1:5">
      <c r="A321" s="406"/>
    </row>
    <row r="322" spans="1:5">
      <c r="A322" s="406"/>
    </row>
    <row r="323" spans="1:5">
      <c r="A323" s="406"/>
    </row>
    <row r="324" spans="1:5">
      <c r="A324" s="406"/>
    </row>
    <row r="325" spans="1:5">
      <c r="A325" s="406"/>
    </row>
    <row r="326" spans="1:5">
      <c r="A326" s="406"/>
    </row>
    <row r="327" spans="1:5">
      <c r="A327" s="406"/>
    </row>
    <row r="328" spans="1:5">
      <c r="A328" s="407"/>
      <c r="B328" s="14"/>
      <c r="C328" s="14"/>
      <c r="D328" s="14"/>
      <c r="E328" s="14"/>
    </row>
    <row r="329" spans="1:5">
      <c r="A329" s="406"/>
    </row>
    <row r="330" spans="1:5">
      <c r="A330" s="406"/>
    </row>
    <row r="331" spans="1:5">
      <c r="A331" s="406"/>
    </row>
    <row r="332" spans="1:5">
      <c r="A332" s="406"/>
    </row>
    <row r="333" spans="1:5">
      <c r="A333" s="406"/>
    </row>
    <row r="334" spans="1:5">
      <c r="A334" s="406"/>
    </row>
    <row r="335" spans="1:5">
      <c r="A335" s="406"/>
    </row>
    <row r="336" spans="1:5">
      <c r="A336" s="406"/>
    </row>
    <row r="337" spans="1:20">
      <c r="A337" s="406"/>
    </row>
    <row r="338" spans="1:20">
      <c r="A338" s="406"/>
    </row>
    <row r="339" spans="1:20">
      <c r="A339" s="406"/>
    </row>
    <row r="340" spans="1:20">
      <c r="A340" s="406"/>
    </row>
    <row r="341" spans="1:20">
      <c r="A341" s="406"/>
    </row>
    <row r="342" spans="1:20">
      <c r="A342" s="406"/>
    </row>
    <row r="343" spans="1:20">
      <c r="A343" s="406"/>
    </row>
    <row r="344" spans="1:20">
      <c r="A344" s="406"/>
    </row>
    <row r="345" spans="1:20">
      <c r="A345" s="406"/>
      <c r="T345" s="14"/>
    </row>
    <row r="346" spans="1:20">
      <c r="A346" s="406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20">
      <c r="A347" s="406"/>
    </row>
    <row r="348" spans="1:20">
      <c r="A348" s="406"/>
    </row>
    <row r="349" spans="1:20">
      <c r="A349" s="406"/>
    </row>
    <row r="350" spans="1:20">
      <c r="A350" s="406"/>
    </row>
    <row r="351" spans="1:20">
      <c r="A351" s="406"/>
    </row>
    <row r="352" spans="1:20">
      <c r="A352" s="406"/>
    </row>
    <row r="353" spans="1:1">
      <c r="A353" s="406"/>
    </row>
    <row r="354" spans="1:1">
      <c r="A354" s="406"/>
    </row>
    <row r="355" spans="1:1">
      <c r="A355" s="406"/>
    </row>
    <row r="356" spans="1:1">
      <c r="A356" s="406"/>
    </row>
    <row r="357" spans="1:1">
      <c r="A357" s="406"/>
    </row>
    <row r="358" spans="1:1">
      <c r="A358" s="406"/>
    </row>
    <row r="359" spans="1:1">
      <c r="A359" s="406"/>
    </row>
    <row r="360" spans="1:1">
      <c r="A360" s="406"/>
    </row>
    <row r="361" spans="1:1">
      <c r="A361" s="406"/>
    </row>
    <row r="362" spans="1:1">
      <c r="A362" s="406"/>
    </row>
    <row r="363" spans="1:1">
      <c r="A363" s="406"/>
    </row>
    <row r="364" spans="1:1">
      <c r="A364" s="406"/>
    </row>
    <row r="365" spans="1:1">
      <c r="A365" s="406"/>
    </row>
    <row r="366" spans="1:1">
      <c r="A366" s="406"/>
    </row>
    <row r="367" spans="1:1">
      <c r="A367" s="406"/>
    </row>
    <row r="368" spans="1:1">
      <c r="A368" s="406"/>
    </row>
    <row r="369" spans="1:5">
      <c r="A369" s="406"/>
    </row>
    <row r="370" spans="1:5">
      <c r="A370" s="406"/>
    </row>
    <row r="371" spans="1:5">
      <c r="A371" s="406"/>
    </row>
    <row r="372" spans="1:5">
      <c r="A372" s="406"/>
    </row>
    <row r="373" spans="1:5">
      <c r="A373" s="406"/>
    </row>
    <row r="374" spans="1:5">
      <c r="A374" s="406"/>
    </row>
    <row r="375" spans="1:5">
      <c r="A375" s="406"/>
    </row>
    <row r="376" spans="1:5">
      <c r="A376" s="406"/>
    </row>
    <row r="377" spans="1:5">
      <c r="A377" s="406"/>
    </row>
    <row r="378" spans="1:5">
      <c r="A378" s="406"/>
    </row>
    <row r="379" spans="1:5">
      <c r="A379" s="406"/>
    </row>
    <row r="380" spans="1:5">
      <c r="A380" s="406"/>
    </row>
    <row r="381" spans="1:5">
      <c r="A381" s="407"/>
      <c r="B381" s="14"/>
      <c r="C381" s="14"/>
      <c r="D381" s="14"/>
      <c r="E381" s="14"/>
    </row>
    <row r="382" spans="1:5">
      <c r="A382" s="406"/>
    </row>
    <row r="383" spans="1:5">
      <c r="A383" s="406"/>
    </row>
    <row r="384" spans="1:5">
      <c r="A384" s="406"/>
    </row>
    <row r="385" spans="1:20">
      <c r="A385" s="406"/>
    </row>
    <row r="386" spans="1:20">
      <c r="A386" s="406"/>
    </row>
    <row r="387" spans="1:20">
      <c r="A387" s="406"/>
    </row>
    <row r="388" spans="1:20">
      <c r="A388" s="406"/>
    </row>
    <row r="389" spans="1:20">
      <c r="A389" s="406"/>
    </row>
    <row r="390" spans="1:20">
      <c r="A390" s="406"/>
    </row>
    <row r="391" spans="1:20">
      <c r="A391" s="406"/>
    </row>
    <row r="392" spans="1:20">
      <c r="A392" s="406"/>
    </row>
    <row r="393" spans="1:20">
      <c r="A393" s="406"/>
    </row>
    <row r="394" spans="1:20">
      <c r="A394" s="406"/>
    </row>
    <row r="395" spans="1:20">
      <c r="A395" s="406"/>
    </row>
    <row r="396" spans="1:20">
      <c r="A396" s="406"/>
    </row>
    <row r="397" spans="1:20">
      <c r="A397" s="406"/>
    </row>
    <row r="398" spans="1:20">
      <c r="A398" s="406"/>
      <c r="T398" s="14"/>
    </row>
    <row r="399" spans="1:20">
      <c r="A399" s="406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20">
      <c r="A400" s="406"/>
    </row>
    <row r="401" spans="1:1">
      <c r="A401" s="406"/>
    </row>
    <row r="402" spans="1:1">
      <c r="A402" s="406"/>
    </row>
    <row r="403" spans="1:1">
      <c r="A403" s="406"/>
    </row>
    <row r="404" spans="1:1">
      <c r="A404" s="406"/>
    </row>
    <row r="405" spans="1:1">
      <c r="A405" s="406"/>
    </row>
    <row r="406" spans="1:1">
      <c r="A406" s="406"/>
    </row>
    <row r="407" spans="1:1">
      <c r="A407" s="406"/>
    </row>
    <row r="408" spans="1:1">
      <c r="A408" s="406"/>
    </row>
    <row r="409" spans="1:1">
      <c r="A409" s="406"/>
    </row>
    <row r="410" spans="1:1">
      <c r="A410" s="406"/>
    </row>
    <row r="411" spans="1:1">
      <c r="A411" s="406"/>
    </row>
    <row r="412" spans="1:1">
      <c r="A412" s="406"/>
    </row>
    <row r="413" spans="1:1">
      <c r="A413" s="406"/>
    </row>
    <row r="414" spans="1:1">
      <c r="A414" s="406"/>
    </row>
    <row r="415" spans="1:1">
      <c r="A415" s="406"/>
    </row>
    <row r="416" spans="1:1">
      <c r="A416" s="406"/>
    </row>
    <row r="417" spans="1:1">
      <c r="A417" s="406"/>
    </row>
    <row r="418" spans="1:1">
      <c r="A418" s="406"/>
    </row>
    <row r="419" spans="1:1">
      <c r="A419" s="406"/>
    </row>
    <row r="420" spans="1:1">
      <c r="A420" s="406"/>
    </row>
    <row r="421" spans="1:1">
      <c r="A421" s="406"/>
    </row>
    <row r="422" spans="1:1">
      <c r="A422" s="406"/>
    </row>
    <row r="423" spans="1:1">
      <c r="A423" s="406"/>
    </row>
    <row r="424" spans="1:1">
      <c r="A424" s="406"/>
    </row>
    <row r="425" spans="1:1">
      <c r="A425" s="406"/>
    </row>
    <row r="426" spans="1:1">
      <c r="A426" s="406"/>
    </row>
    <row r="427" spans="1:1">
      <c r="A427" s="406"/>
    </row>
    <row r="428" spans="1:1">
      <c r="A428"/>
    </row>
    <row r="429" spans="1:1">
      <c r="A429"/>
    </row>
    <row r="430" spans="1:1">
      <c r="A430"/>
    </row>
    <row r="431" spans="1:1">
      <c r="A431" s="413"/>
    </row>
    <row r="432" spans="1:1">
      <c r="A432"/>
    </row>
    <row r="433" spans="1:5">
      <c r="A433"/>
    </row>
    <row r="434" spans="1:5">
      <c r="A434" s="14"/>
      <c r="B434" s="14"/>
      <c r="C434" s="14"/>
      <c r="D434" s="14"/>
      <c r="E434" s="14"/>
    </row>
    <row r="435" spans="1:5">
      <c r="A435"/>
    </row>
    <row r="436" spans="1:5">
      <c r="A436"/>
    </row>
    <row r="437" spans="1:5">
      <c r="A437" s="414"/>
    </row>
    <row r="438" spans="1:5">
      <c r="A438"/>
    </row>
    <row r="439" spans="1:5">
      <c r="A439"/>
    </row>
    <row r="440" spans="1:5">
      <c r="A440"/>
    </row>
    <row r="441" spans="1:5">
      <c r="A441" s="415"/>
    </row>
    <row r="442" spans="1:5">
      <c r="A442"/>
    </row>
    <row r="443" spans="1:5">
      <c r="A443"/>
    </row>
    <row r="444" spans="1:5">
      <c r="A444"/>
    </row>
    <row r="445" spans="1:5">
      <c r="A445" s="413"/>
    </row>
    <row r="446" spans="1:5">
      <c r="A446" s="416"/>
    </row>
    <row r="447" spans="1:5">
      <c r="A447"/>
    </row>
    <row r="448" spans="1:5">
      <c r="A448"/>
    </row>
    <row r="449" spans="1:20">
      <c r="A449"/>
    </row>
    <row r="450" spans="1:20">
      <c r="A450"/>
    </row>
    <row r="451" spans="1:20">
      <c r="A451"/>
      <c r="T451" s="14"/>
    </row>
    <row r="452" spans="1:20">
      <c r="A45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20">
      <c r="A453"/>
    </row>
    <row r="454" spans="1:20">
      <c r="A454"/>
    </row>
    <row r="455" spans="1:20">
      <c r="A455"/>
    </row>
    <row r="456" spans="1:20">
      <c r="A456"/>
    </row>
    <row r="457" spans="1:20">
      <c r="A457"/>
    </row>
    <row r="458" spans="1:20">
      <c r="A458"/>
    </row>
    <row r="459" spans="1:20">
      <c r="A459"/>
    </row>
    <row r="460" spans="1:20">
      <c r="A460"/>
    </row>
    <row r="461" spans="1:20">
      <c r="A461"/>
    </row>
    <row r="462" spans="1:20">
      <c r="A462" s="415"/>
    </row>
    <row r="463" spans="1:20">
      <c r="A463" s="415"/>
    </row>
    <row r="464" spans="1:20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 s="416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 s="41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 s="414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 s="413"/>
    </row>
    <row r="498" spans="1:1">
      <c r="A498" s="416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 s="416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</sheetData>
  <mergeCells count="11">
    <mergeCell ref="I107:P107"/>
    <mergeCell ref="A1:D1"/>
    <mergeCell ref="A2:D2"/>
    <mergeCell ref="A3:D3"/>
    <mergeCell ref="A4:D4"/>
    <mergeCell ref="I104:P104"/>
    <mergeCell ref="I106:P106"/>
    <mergeCell ref="H54:J54"/>
    <mergeCell ref="H55:J55"/>
    <mergeCell ref="H56:J56"/>
    <mergeCell ref="H57:J57"/>
  </mergeCells>
  <pageMargins left="0.97" right="0.45" top="1" bottom="1" header="0.3" footer="0.3"/>
  <pageSetup paperSize="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B16" sqref="B16"/>
    </sheetView>
  </sheetViews>
  <sheetFormatPr defaultRowHeight="12.75"/>
  <cols>
    <col min="1" max="1" width="48.140625" customWidth="1"/>
    <col min="2" max="2" width="3.140625" customWidth="1"/>
    <col min="3" max="3" width="15.5703125" customWidth="1"/>
    <col min="4" max="4" width="6.7109375" customWidth="1"/>
    <col min="5" max="5" width="17.7109375" customWidth="1"/>
    <col min="7" max="7" width="20.42578125" customWidth="1"/>
  </cols>
  <sheetData>
    <row r="1" spans="1:5">
      <c r="A1" s="13"/>
      <c r="B1" s="13"/>
      <c r="C1" s="13"/>
      <c r="D1" s="13"/>
      <c r="E1" s="13"/>
    </row>
    <row r="2" spans="1:5" ht="15.75">
      <c r="A2" s="735" t="s">
        <v>7</v>
      </c>
      <c r="B2" s="735"/>
      <c r="C2" s="735"/>
      <c r="D2" s="735"/>
      <c r="E2" s="735"/>
    </row>
    <row r="3" spans="1:5" ht="15.75">
      <c r="A3" s="724" t="s">
        <v>84</v>
      </c>
      <c r="B3" s="724"/>
      <c r="C3" s="724"/>
      <c r="D3" s="724"/>
      <c r="E3" s="724"/>
    </row>
    <row r="4" spans="1:5">
      <c r="A4" s="731" t="s">
        <v>1106</v>
      </c>
      <c r="B4" s="731"/>
      <c r="C4" s="731"/>
      <c r="D4" s="731"/>
      <c r="E4" s="731"/>
    </row>
    <row r="5" spans="1:5">
      <c r="A5" s="731" t="s">
        <v>1063</v>
      </c>
      <c r="B5" s="731"/>
      <c r="C5" s="731"/>
      <c r="D5" s="731"/>
      <c r="E5" s="731"/>
    </row>
    <row r="6" spans="1:5">
      <c r="A6" s="625"/>
      <c r="B6" s="625"/>
      <c r="C6" s="625"/>
      <c r="D6" s="199"/>
      <c r="E6" s="625"/>
    </row>
    <row r="7" spans="1:5">
      <c r="A7" s="13"/>
      <c r="B7" s="13"/>
      <c r="C7" s="13"/>
      <c r="D7" s="626"/>
      <c r="E7" s="627"/>
    </row>
    <row r="8" spans="1:5">
      <c r="A8" s="13"/>
      <c r="B8" s="13"/>
      <c r="C8" s="13"/>
      <c r="D8" s="626"/>
      <c r="E8" s="627"/>
    </row>
    <row r="9" spans="1:5">
      <c r="A9" s="13"/>
      <c r="B9" s="13"/>
      <c r="C9" s="13"/>
      <c r="D9" s="626"/>
      <c r="E9" s="627"/>
    </row>
    <row r="10" spans="1:5">
      <c r="A10" s="13"/>
      <c r="B10" s="13"/>
      <c r="C10" s="13"/>
      <c r="D10" s="626"/>
      <c r="E10" s="627"/>
    </row>
    <row r="11" spans="1:5">
      <c r="A11" s="13"/>
      <c r="B11" s="13"/>
      <c r="C11" s="13"/>
      <c r="D11" s="13"/>
      <c r="E11" s="13"/>
    </row>
    <row r="12" spans="1:5">
      <c r="A12" s="142" t="s">
        <v>48</v>
      </c>
      <c r="B12" s="142"/>
      <c r="C12" s="142"/>
      <c r="D12" s="628" t="s">
        <v>1078</v>
      </c>
      <c r="E12" s="151">
        <f>+BS!F228</f>
        <v>172929908.27999997</v>
      </c>
    </row>
    <row r="13" spans="1:5">
      <c r="A13" s="13"/>
      <c r="B13" s="13"/>
      <c r="C13" s="13"/>
      <c r="D13" s="628"/>
      <c r="E13" s="13"/>
    </row>
    <row r="14" spans="1:5">
      <c r="A14" s="13" t="s">
        <v>1079</v>
      </c>
      <c r="B14" s="13" t="s">
        <v>1078</v>
      </c>
      <c r="C14" s="12">
        <f>+BS!F169+BS!F176</f>
        <v>53919996.549999997</v>
      </c>
      <c r="D14" s="628"/>
      <c r="E14" s="13"/>
    </row>
    <row r="15" spans="1:5">
      <c r="A15" s="13" t="s">
        <v>1080</v>
      </c>
      <c r="B15" s="13"/>
      <c r="C15" s="12"/>
      <c r="D15" s="628"/>
      <c r="E15" s="13"/>
    </row>
    <row r="16" spans="1:5">
      <c r="A16" s="13" t="s">
        <v>223</v>
      </c>
      <c r="B16" s="13"/>
      <c r="C16" s="12">
        <f>+BS!F48</f>
        <v>14938085.729999967</v>
      </c>
      <c r="D16" s="628"/>
      <c r="E16" s="13"/>
    </row>
    <row r="17" spans="1:7">
      <c r="A17" s="13" t="s">
        <v>224</v>
      </c>
      <c r="B17" s="13"/>
      <c r="C17" s="12">
        <f>+BS!F74</f>
        <v>1848321.95</v>
      </c>
      <c r="D17" s="628"/>
      <c r="E17" s="13"/>
    </row>
    <row r="18" spans="1:7" ht="12.75" customHeight="1">
      <c r="A18" s="629" t="s">
        <v>1081</v>
      </c>
      <c r="B18" s="629"/>
      <c r="C18" s="393">
        <f>+BS!F83</f>
        <v>3779668.5200000005</v>
      </c>
      <c r="D18" s="628"/>
      <c r="E18" s="13"/>
    </row>
    <row r="19" spans="1:7" ht="12.75" customHeight="1">
      <c r="A19" s="629" t="s">
        <v>1082</v>
      </c>
      <c r="B19" s="629"/>
      <c r="C19" s="630">
        <v>2267403.0299999998</v>
      </c>
      <c r="D19" s="628"/>
      <c r="E19" s="13"/>
    </row>
    <row r="20" spans="1:7">
      <c r="A20" s="26" t="s">
        <v>1083</v>
      </c>
      <c r="B20" s="26"/>
      <c r="C20" s="630">
        <f>53456000+3439813.96</f>
        <v>56895813.960000001</v>
      </c>
      <c r="D20" s="628"/>
      <c r="E20" s="13"/>
      <c r="G20" s="19"/>
    </row>
    <row r="21" spans="1:7" hidden="1">
      <c r="A21" s="200" t="s">
        <v>1084</v>
      </c>
      <c r="B21" s="200"/>
      <c r="C21" s="631"/>
      <c r="D21" s="628"/>
      <c r="E21" s="13"/>
    </row>
    <row r="22" spans="1:7" hidden="1">
      <c r="A22" s="13" t="s">
        <v>1085</v>
      </c>
      <c r="B22" s="13"/>
      <c r="C22" s="12">
        <f>+[4]BS!F14</f>
        <v>0</v>
      </c>
      <c r="D22" s="628"/>
      <c r="E22" s="13"/>
    </row>
    <row r="23" spans="1:7">
      <c r="A23" s="13"/>
      <c r="B23" s="13"/>
      <c r="C23" s="14"/>
      <c r="D23" s="628"/>
      <c r="E23" s="17">
        <f>SUM(C14:C23)</f>
        <v>133649289.73999998</v>
      </c>
    </row>
    <row r="24" spans="1:7">
      <c r="A24" s="13"/>
      <c r="B24" s="13"/>
      <c r="C24" s="16"/>
      <c r="D24" s="628"/>
      <c r="E24" s="16"/>
    </row>
    <row r="25" spans="1:7" ht="13.5" thickBot="1">
      <c r="A25" s="105" t="s">
        <v>1107</v>
      </c>
      <c r="B25" s="26"/>
      <c r="C25" s="26"/>
      <c r="D25" s="628"/>
      <c r="E25" s="632">
        <f>+E12-E23</f>
        <v>39280618.539999992</v>
      </c>
    </row>
    <row r="26" spans="1:7" ht="13.5" thickTop="1">
      <c r="A26" s="13"/>
      <c r="B26" s="13"/>
      <c r="C26" s="13"/>
      <c r="D26" s="628"/>
      <c r="E26" s="13"/>
    </row>
    <row r="27" spans="1:7">
      <c r="A27" s="142" t="s">
        <v>1108</v>
      </c>
      <c r="B27" s="13"/>
      <c r="C27" s="13"/>
      <c r="D27" s="628"/>
      <c r="E27" s="13"/>
    </row>
    <row r="28" spans="1:7">
      <c r="A28" s="13" t="s">
        <v>1086</v>
      </c>
      <c r="B28" s="13"/>
      <c r="C28" s="13"/>
      <c r="D28" s="628" t="s">
        <v>1078</v>
      </c>
      <c r="E28" s="12">
        <f>+BS!F25</f>
        <v>138528633.11000001</v>
      </c>
    </row>
    <row r="29" spans="1:7" ht="12.75" hidden="1" customHeight="1">
      <c r="A29" s="201" t="s">
        <v>1087</v>
      </c>
      <c r="B29" s="201"/>
      <c r="C29" s="201"/>
      <c r="D29" s="628"/>
      <c r="E29" s="10">
        <f>+C22</f>
        <v>0</v>
      </c>
    </row>
    <row r="30" spans="1:7" hidden="1">
      <c r="A30" s="26" t="s">
        <v>1088</v>
      </c>
      <c r="B30" s="26"/>
      <c r="C30" s="26"/>
      <c r="D30" s="628"/>
      <c r="E30" s="12">
        <f>+E28-E29</f>
        <v>138528633.11000001</v>
      </c>
    </row>
    <row r="31" spans="1:7">
      <c r="A31" s="26"/>
      <c r="B31" s="26"/>
      <c r="C31" s="26"/>
      <c r="D31" s="628"/>
      <c r="E31" s="12"/>
    </row>
    <row r="32" spans="1:7">
      <c r="A32" s="26" t="s">
        <v>1089</v>
      </c>
      <c r="B32" s="26"/>
      <c r="C32" s="630">
        <f>+C20</f>
        <v>56895813.960000001</v>
      </c>
      <c r="D32" s="628"/>
      <c r="E32" s="12"/>
    </row>
    <row r="33" spans="1:7" hidden="1">
      <c r="A33" s="633" t="s">
        <v>1090</v>
      </c>
      <c r="B33" s="633"/>
      <c r="C33" s="634"/>
      <c r="D33" s="628"/>
      <c r="E33" s="12"/>
    </row>
    <row r="34" spans="1:7" hidden="1">
      <c r="A34" s="13" t="s">
        <v>1091</v>
      </c>
      <c r="B34" s="13"/>
      <c r="C34" s="12">
        <f>+C21</f>
        <v>0</v>
      </c>
      <c r="D34" s="628"/>
      <c r="E34" s="12"/>
    </row>
    <row r="35" spans="1:7">
      <c r="A35" s="26" t="s">
        <v>1092</v>
      </c>
      <c r="B35" s="13"/>
      <c r="C35" s="630">
        <f>+C19</f>
        <v>2267403.0299999998</v>
      </c>
      <c r="D35" s="628"/>
      <c r="E35" s="12"/>
    </row>
    <row r="36" spans="1:7">
      <c r="A36" s="26" t="s">
        <v>1093</v>
      </c>
      <c r="B36" s="26"/>
      <c r="C36" s="141">
        <f>+BS!F201</f>
        <v>3859730.6800000025</v>
      </c>
      <c r="D36" s="628"/>
      <c r="E36" s="12"/>
    </row>
    <row r="37" spans="1:7">
      <c r="A37" s="26" t="s">
        <v>1094</v>
      </c>
      <c r="B37" s="26"/>
      <c r="C37" s="141">
        <f>+BS!F216</f>
        <v>36225066.896899961</v>
      </c>
      <c r="D37" s="628"/>
      <c r="E37" s="12"/>
    </row>
    <row r="38" spans="1:7">
      <c r="A38" s="26"/>
      <c r="B38" s="26"/>
      <c r="C38" s="155"/>
      <c r="D38" s="628"/>
      <c r="E38" s="10">
        <f>SUM(C32:C38)</f>
        <v>99248014.566899955</v>
      </c>
    </row>
    <row r="39" spans="1:7">
      <c r="A39" s="26"/>
      <c r="B39" s="26"/>
      <c r="C39" s="26"/>
      <c r="D39" s="628"/>
      <c r="E39" s="12"/>
    </row>
    <row r="40" spans="1:7" ht="13.5" thickBot="1">
      <c r="A40" s="13" t="s">
        <v>1095</v>
      </c>
      <c r="B40" s="13"/>
      <c r="C40" s="13"/>
      <c r="D40" s="628" t="s">
        <v>1078</v>
      </c>
      <c r="E40" s="635">
        <f>+E30-E38</f>
        <v>39280618.543100059</v>
      </c>
      <c r="F40" s="19"/>
      <c r="G40" s="9">
        <f>+E25-E40</f>
        <v>-3.1000673770904541E-3</v>
      </c>
    </row>
    <row r="41" spans="1:7" ht="13.5" thickTop="1">
      <c r="A41" s="13"/>
      <c r="B41" s="13"/>
      <c r="C41" s="13"/>
      <c r="D41" s="628"/>
      <c r="E41" s="13"/>
      <c r="G41" s="19"/>
    </row>
    <row r="42" spans="1:7">
      <c r="A42" s="13"/>
      <c r="B42" s="13"/>
      <c r="C42" s="13"/>
      <c r="D42" s="628"/>
      <c r="E42" s="16"/>
      <c r="G42" s="8"/>
    </row>
    <row r="43" spans="1:7">
      <c r="A43" s="13"/>
      <c r="B43" s="13"/>
      <c r="C43" s="13"/>
      <c r="D43" s="628"/>
      <c r="E43" s="13"/>
    </row>
    <row r="49" spans="6:7">
      <c r="F49" s="636"/>
      <c r="G49" s="8"/>
    </row>
    <row r="50" spans="6:7">
      <c r="F50" s="636"/>
      <c r="G50" s="8"/>
    </row>
    <row r="51" spans="6:7">
      <c r="G51" s="19"/>
    </row>
    <row r="52" spans="6:7">
      <c r="G52" s="19"/>
    </row>
    <row r="53" spans="6:7">
      <c r="G53" s="19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3:J20"/>
  <sheetViews>
    <sheetView topLeftCell="A6" workbookViewId="0">
      <selection activeCell="P16" sqref="P16"/>
    </sheetView>
  </sheetViews>
  <sheetFormatPr defaultRowHeight="12.75"/>
  <cols>
    <col min="3" max="3" width="1.140625" customWidth="1"/>
    <col min="4" max="4" width="1.28515625" customWidth="1"/>
    <col min="5" max="5" width="17.140625" customWidth="1"/>
    <col min="6" max="6" width="15.7109375" customWidth="1"/>
    <col min="7" max="7" width="15.85546875" customWidth="1"/>
    <col min="8" max="8" width="1.140625" customWidth="1"/>
    <col min="9" max="9" width="1.28515625" customWidth="1"/>
    <col min="10" max="11" width="9.140625" customWidth="1"/>
  </cols>
  <sheetData>
    <row r="3" spans="2:10" ht="19.5" customHeight="1">
      <c r="B3" s="13"/>
      <c r="C3" s="13"/>
      <c r="D3" s="13"/>
      <c r="E3" s="13"/>
      <c r="F3" s="13"/>
      <c r="G3" s="13"/>
      <c r="H3" s="13"/>
      <c r="I3" s="13"/>
      <c r="J3" s="13"/>
    </row>
    <row r="4" spans="2:10" ht="6.75" customHeight="1">
      <c r="B4" s="13"/>
      <c r="C4" s="13"/>
      <c r="D4" s="13"/>
      <c r="E4" s="13"/>
      <c r="F4" s="13"/>
      <c r="G4" s="13"/>
      <c r="H4" s="13"/>
      <c r="I4" s="13"/>
      <c r="J4" s="13"/>
    </row>
    <row r="5" spans="2:10" ht="6" customHeight="1">
      <c r="B5" s="13"/>
      <c r="C5" s="13"/>
      <c r="D5" s="13"/>
      <c r="E5" s="13"/>
      <c r="F5" s="13"/>
      <c r="G5" s="13"/>
      <c r="H5" s="13"/>
      <c r="I5" s="13"/>
      <c r="J5" s="13"/>
    </row>
    <row r="6" spans="2:10" ht="16.5">
      <c r="B6" s="13"/>
      <c r="C6" s="13"/>
      <c r="D6" s="13"/>
      <c r="E6" s="748"/>
      <c r="F6" s="748"/>
      <c r="G6" s="748"/>
      <c r="H6" s="13"/>
      <c r="I6" s="13"/>
      <c r="J6" s="13"/>
    </row>
    <row r="7" spans="2:10" ht="16.5">
      <c r="B7" s="13"/>
      <c r="C7" s="13"/>
      <c r="D7" s="13"/>
      <c r="E7" s="748"/>
      <c r="F7" s="748"/>
      <c r="G7" s="748"/>
      <c r="H7" s="13"/>
      <c r="I7" s="13"/>
      <c r="J7" s="13"/>
    </row>
    <row r="8" spans="2:10" ht="16.5">
      <c r="B8" s="13"/>
      <c r="C8" s="13"/>
      <c r="D8" s="13"/>
      <c r="E8" s="748"/>
      <c r="F8" s="748"/>
      <c r="G8" s="748"/>
      <c r="H8" s="13"/>
      <c r="I8" s="13"/>
      <c r="J8" s="13"/>
    </row>
    <row r="9" spans="2:10" ht="18">
      <c r="B9" s="13"/>
      <c r="C9" s="13"/>
      <c r="D9" s="13"/>
      <c r="E9" s="749"/>
      <c r="F9" s="749"/>
      <c r="G9" s="749"/>
      <c r="H9" s="13"/>
      <c r="I9" s="13"/>
      <c r="J9" s="13"/>
    </row>
    <row r="10" spans="2:10" ht="7.5" customHeight="1">
      <c r="B10" s="13"/>
      <c r="C10" s="13"/>
      <c r="D10" s="13"/>
      <c r="E10" s="13"/>
      <c r="F10" s="13"/>
      <c r="G10" s="13"/>
      <c r="H10" s="13"/>
      <c r="I10" s="13"/>
      <c r="J10" s="13"/>
    </row>
    <row r="11" spans="2:10" ht="8.25" customHeight="1">
      <c r="B11" s="13"/>
      <c r="C11" s="13"/>
      <c r="D11" s="13"/>
      <c r="E11" s="13"/>
      <c r="F11" s="13"/>
      <c r="G11" s="13"/>
      <c r="H11" s="13"/>
      <c r="I11" s="13"/>
      <c r="J11" s="13"/>
    </row>
    <row r="12" spans="2:10" ht="13.5" thickBot="1"/>
    <row r="13" spans="2:10" ht="6" customHeight="1">
      <c r="C13" s="602"/>
      <c r="D13" s="603"/>
      <c r="E13" s="603"/>
      <c r="F13" s="603"/>
      <c r="G13" s="603"/>
      <c r="H13" s="603"/>
      <c r="I13" s="604"/>
    </row>
    <row r="14" spans="2:10" ht="5.25" customHeight="1">
      <c r="C14" s="605"/>
      <c r="D14" s="494"/>
      <c r="E14" s="489"/>
      <c r="F14" s="489"/>
      <c r="G14" s="489"/>
      <c r="H14" s="610"/>
      <c r="I14" s="606"/>
    </row>
    <row r="15" spans="2:10" ht="16.5">
      <c r="C15" s="605"/>
      <c r="D15" s="459"/>
      <c r="E15" s="748" t="s">
        <v>7</v>
      </c>
      <c r="F15" s="748"/>
      <c r="G15" s="748"/>
      <c r="H15" s="15"/>
      <c r="I15" s="606"/>
    </row>
    <row r="16" spans="2:10" ht="16.5">
      <c r="C16" s="605"/>
      <c r="D16" s="459"/>
      <c r="E16" s="748" t="s">
        <v>1047</v>
      </c>
      <c r="F16" s="748"/>
      <c r="G16" s="748"/>
      <c r="H16" s="15"/>
      <c r="I16" s="606"/>
    </row>
    <row r="17" spans="3:9" ht="16.5">
      <c r="C17" s="605"/>
      <c r="D17" s="459"/>
      <c r="E17" s="748" t="s">
        <v>1048</v>
      </c>
      <c r="F17" s="748"/>
      <c r="G17" s="748"/>
      <c r="H17" s="15"/>
      <c r="I17" s="606"/>
    </row>
    <row r="18" spans="3:9" ht="18">
      <c r="C18" s="605"/>
      <c r="D18" s="459"/>
      <c r="E18" s="749" t="s">
        <v>1136</v>
      </c>
      <c r="F18" s="749"/>
      <c r="G18" s="749"/>
      <c r="H18" s="15"/>
      <c r="I18" s="606"/>
    </row>
    <row r="19" spans="3:9" ht="5.25" customHeight="1">
      <c r="C19" s="605"/>
      <c r="D19" s="540"/>
      <c r="E19" s="14"/>
      <c r="F19" s="14"/>
      <c r="G19" s="14"/>
      <c r="H19" s="449"/>
      <c r="I19" s="606"/>
    </row>
    <row r="20" spans="3:9" ht="6" customHeight="1" thickBot="1">
      <c r="C20" s="607"/>
      <c r="D20" s="608"/>
      <c r="E20" s="608"/>
      <c r="F20" s="608"/>
      <c r="G20" s="608"/>
      <c r="H20" s="608"/>
      <c r="I20" s="609"/>
    </row>
  </sheetData>
  <mergeCells count="8">
    <mergeCell ref="E15:G15"/>
    <mergeCell ref="E16:G16"/>
    <mergeCell ref="E17:G17"/>
    <mergeCell ref="E18:G18"/>
    <mergeCell ref="E6:G6"/>
    <mergeCell ref="E7:G7"/>
    <mergeCell ref="E8:G8"/>
    <mergeCell ref="E9:G9"/>
  </mergeCells>
  <pageMargins left="0.7" right="0.7" top="0.75" bottom="0.75" header="0.3" footer="0.3"/>
  <pageSetup paperSize="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6"/>
  <sheetViews>
    <sheetView workbookViewId="0">
      <selection activeCell="P25" sqref="P25"/>
    </sheetView>
  </sheetViews>
  <sheetFormatPr defaultRowHeight="12.75"/>
  <cols>
    <col min="1" max="1" width="1.5703125" customWidth="1"/>
    <col min="2" max="2" width="16.85546875" customWidth="1"/>
    <col min="3" max="3" width="6.42578125" customWidth="1"/>
    <col min="4" max="4" width="8.85546875" customWidth="1"/>
    <col min="5" max="6" width="12.140625" customWidth="1"/>
    <col min="7" max="7" width="12.28515625" customWidth="1"/>
    <col min="8" max="8" width="11" customWidth="1"/>
    <col min="9" max="9" width="9.42578125" customWidth="1"/>
    <col min="10" max="10" width="9.5703125" customWidth="1"/>
    <col min="11" max="11" width="9.28515625" customWidth="1"/>
    <col min="12" max="12" width="20.42578125" style="188" customWidth="1"/>
  </cols>
  <sheetData>
    <row r="1" spans="1:11" ht="18">
      <c r="A1" s="27"/>
      <c r="B1" s="694" t="s">
        <v>7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1:11" ht="18.75">
      <c r="A2" s="695" t="s">
        <v>935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ht="18">
      <c r="A3" s="27"/>
      <c r="B3" s="696" t="s">
        <v>84</v>
      </c>
      <c r="C3" s="696"/>
      <c r="D3" s="696"/>
      <c r="E3" s="696"/>
      <c r="F3" s="696"/>
      <c r="G3" s="696"/>
      <c r="H3" s="696"/>
      <c r="I3" s="696"/>
      <c r="J3" s="696"/>
      <c r="K3" s="696"/>
    </row>
    <row r="4" spans="1:11" ht="15.75">
      <c r="A4" s="27"/>
      <c r="B4" s="697" t="str">
        <f>+BS!A4</f>
        <v>As of September 30, 2012</v>
      </c>
      <c r="C4" s="697"/>
      <c r="D4" s="697"/>
      <c r="E4" s="697"/>
      <c r="F4" s="697"/>
      <c r="G4" s="697"/>
      <c r="H4" s="697"/>
      <c r="I4" s="697"/>
      <c r="J4" s="697"/>
      <c r="K4" s="697"/>
    </row>
    <row r="5" spans="1:11" ht="15.75">
      <c r="A5" s="28"/>
      <c r="B5" s="29"/>
      <c r="C5" s="29"/>
      <c r="D5" s="29"/>
      <c r="E5" s="29"/>
      <c r="F5" s="29"/>
      <c r="G5" s="29"/>
      <c r="H5" s="29"/>
      <c r="I5" s="29"/>
      <c r="J5" s="29"/>
      <c r="K5" s="27"/>
    </row>
    <row r="6" spans="1:11" ht="13.5" thickBot="1">
      <c r="I6" s="199" t="s">
        <v>170</v>
      </c>
      <c r="J6" s="30"/>
      <c r="K6" t="s">
        <v>76</v>
      </c>
    </row>
    <row r="7" spans="1:11" ht="51.75" customHeight="1" thickTop="1">
      <c r="A7" s="698" t="s">
        <v>171</v>
      </c>
      <c r="B7" s="699"/>
      <c r="C7" s="702" t="s">
        <v>172</v>
      </c>
      <c r="D7" s="703"/>
      <c r="E7" s="31" t="s">
        <v>173</v>
      </c>
      <c r="F7" s="32" t="s">
        <v>174</v>
      </c>
      <c r="G7" s="706" t="s">
        <v>175</v>
      </c>
      <c r="H7" s="32" t="s">
        <v>176</v>
      </c>
      <c r="I7" s="32" t="s">
        <v>177</v>
      </c>
      <c r="J7" s="32" t="s">
        <v>178</v>
      </c>
      <c r="K7" s="704" t="s">
        <v>109</v>
      </c>
    </row>
    <row r="8" spans="1:11" ht="15.75" thickBot="1">
      <c r="A8" s="700"/>
      <c r="B8" s="701"/>
      <c r="C8" s="33" t="s">
        <v>115</v>
      </c>
      <c r="D8" s="34" t="s">
        <v>179</v>
      </c>
      <c r="E8" s="35" t="s">
        <v>76</v>
      </c>
      <c r="F8" s="36" t="s">
        <v>76</v>
      </c>
      <c r="G8" s="707"/>
      <c r="H8" s="36" t="s">
        <v>76</v>
      </c>
      <c r="I8" s="36" t="s">
        <v>76</v>
      </c>
      <c r="J8" s="36" t="s">
        <v>76</v>
      </c>
      <c r="K8" s="705"/>
    </row>
    <row r="9" spans="1:11" ht="13.5" thickTop="1">
      <c r="A9" s="37" t="s">
        <v>76</v>
      </c>
      <c r="B9" s="38"/>
      <c r="C9" s="39"/>
      <c r="D9" s="40"/>
      <c r="E9" s="41"/>
      <c r="F9" s="41"/>
      <c r="G9" s="41"/>
      <c r="H9" s="41"/>
      <c r="I9" s="41"/>
      <c r="J9" s="41"/>
      <c r="K9" s="42"/>
    </row>
    <row r="10" spans="1:11" ht="13.5" hidden="1">
      <c r="A10" s="43" t="s">
        <v>335</v>
      </c>
      <c r="B10" s="38"/>
      <c r="C10" s="195"/>
      <c r="D10" s="169"/>
      <c r="E10" s="41"/>
      <c r="F10" s="41"/>
      <c r="G10" s="41"/>
      <c r="H10" s="41"/>
      <c r="I10" s="41"/>
      <c r="J10" s="41"/>
      <c r="K10" s="42"/>
    </row>
    <row r="11" spans="1:11" ht="12.75" hidden="1" customHeight="1">
      <c r="A11" s="43"/>
      <c r="B11" s="556"/>
      <c r="C11" s="557"/>
      <c r="D11" s="558"/>
      <c r="E11" s="559"/>
      <c r="F11" s="559"/>
      <c r="G11" s="559"/>
      <c r="H11" s="564"/>
      <c r="I11" s="562"/>
      <c r="J11" s="559"/>
      <c r="K11" s="561"/>
    </row>
    <row r="12" spans="1:11" ht="13.5" hidden="1">
      <c r="A12" s="43" t="s">
        <v>959</v>
      </c>
      <c r="B12" s="556"/>
      <c r="C12" s="557"/>
      <c r="D12" s="558"/>
      <c r="E12" s="559"/>
      <c r="F12" s="559"/>
      <c r="G12" s="560"/>
      <c r="H12" s="564"/>
      <c r="I12" s="562"/>
      <c r="J12" s="559"/>
      <c r="K12" s="561"/>
    </row>
    <row r="13" spans="1:11" ht="13.5" hidden="1">
      <c r="A13" s="43"/>
      <c r="B13" s="556" t="s">
        <v>1053</v>
      </c>
      <c r="C13" s="557">
        <v>40765</v>
      </c>
      <c r="D13" s="558" t="s">
        <v>1054</v>
      </c>
      <c r="E13" s="572">
        <f>SUM(F13:J13)</f>
        <v>0</v>
      </c>
      <c r="F13" s="559">
        <f>317600-317600</f>
        <v>0</v>
      </c>
      <c r="G13" s="560"/>
      <c r="H13" s="564"/>
      <c r="I13" s="562"/>
      <c r="J13" s="559"/>
      <c r="K13" s="561"/>
    </row>
    <row r="14" spans="1:11" ht="13.5" hidden="1">
      <c r="A14" s="43"/>
      <c r="B14" s="556"/>
      <c r="C14" s="557"/>
      <c r="D14" s="558"/>
      <c r="E14" s="559"/>
      <c r="F14" s="559"/>
      <c r="G14" s="560"/>
      <c r="H14" s="564"/>
      <c r="I14" s="562"/>
      <c r="J14" s="559"/>
      <c r="K14" s="561"/>
    </row>
    <row r="15" spans="1:11" ht="13.5">
      <c r="A15" s="565" t="s">
        <v>960</v>
      </c>
      <c r="B15" s="556"/>
      <c r="C15" s="557"/>
      <c r="D15" s="558"/>
      <c r="E15" s="559"/>
      <c r="F15" s="559"/>
      <c r="G15" s="560"/>
      <c r="H15" s="564"/>
      <c r="I15" s="562"/>
      <c r="J15" s="559"/>
      <c r="K15" s="561"/>
    </row>
    <row r="16" spans="1:11" ht="13.5" hidden="1">
      <c r="A16" s="43"/>
      <c r="B16" s="569" t="s">
        <v>283</v>
      </c>
      <c r="C16" s="570">
        <v>40865</v>
      </c>
      <c r="D16" s="571" t="s">
        <v>1061</v>
      </c>
      <c r="E16" s="572">
        <f t="shared" ref="E16:E17" si="0">SUM(F16:J16)</f>
        <v>0</v>
      </c>
      <c r="F16" s="615"/>
      <c r="G16" s="560">
        <f>988800-988800</f>
        <v>0</v>
      </c>
      <c r="H16" s="559"/>
      <c r="I16" s="559"/>
      <c r="J16" s="559"/>
      <c r="K16" s="563"/>
    </row>
    <row r="17" spans="1:11" ht="13.5" hidden="1">
      <c r="A17" s="43"/>
      <c r="B17" s="556" t="s">
        <v>284</v>
      </c>
      <c r="C17" s="557">
        <v>40883</v>
      </c>
      <c r="D17" s="558" t="s">
        <v>1064</v>
      </c>
      <c r="E17" s="559">
        <f t="shared" si="0"/>
        <v>0</v>
      </c>
      <c r="F17" s="559">
        <f>214280-214280</f>
        <v>0</v>
      </c>
      <c r="G17" s="560"/>
      <c r="H17" s="559"/>
      <c r="I17" s="559"/>
      <c r="J17" s="559"/>
      <c r="K17" s="561"/>
    </row>
    <row r="18" spans="1:11" ht="13.5">
      <c r="A18" s="43"/>
      <c r="B18" s="556" t="s">
        <v>1125</v>
      </c>
      <c r="C18" s="557">
        <v>41029</v>
      </c>
      <c r="D18" s="558" t="s">
        <v>1123</v>
      </c>
      <c r="E18" s="559">
        <f t="shared" ref="E18:E24" si="1">SUM(F18:J18)</f>
        <v>517648</v>
      </c>
      <c r="F18" s="559"/>
      <c r="G18" s="559">
        <f>634648-117000</f>
        <v>517648</v>
      </c>
      <c r="H18" s="559"/>
      <c r="I18" s="559"/>
      <c r="J18" s="559"/>
      <c r="K18" s="563"/>
    </row>
    <row r="19" spans="1:11" ht="13.5">
      <c r="A19" s="43"/>
      <c r="B19" s="556" t="s">
        <v>1125</v>
      </c>
      <c r="C19" s="557">
        <v>41166</v>
      </c>
      <c r="D19" s="558" t="s">
        <v>1149</v>
      </c>
      <c r="E19" s="559">
        <v>206327.15</v>
      </c>
      <c r="F19" s="559">
        <v>206327.15</v>
      </c>
      <c r="G19" s="562"/>
      <c r="H19" s="559"/>
      <c r="I19" s="560"/>
      <c r="J19" s="559"/>
      <c r="K19" s="563"/>
    </row>
    <row r="20" spans="1:11" ht="13.5">
      <c r="A20" s="43"/>
      <c r="B20" s="556" t="s">
        <v>284</v>
      </c>
      <c r="C20" s="570">
        <v>40977</v>
      </c>
      <c r="D20" s="571" t="s">
        <v>1118</v>
      </c>
      <c r="E20" s="572">
        <f t="shared" si="1"/>
        <v>29270.760000000009</v>
      </c>
      <c r="F20" s="559"/>
      <c r="G20" s="562">
        <f>1573280-1544009.24</f>
        <v>29270.760000000009</v>
      </c>
      <c r="H20" s="559"/>
      <c r="I20" s="560"/>
      <c r="J20" s="559"/>
      <c r="K20" s="561"/>
    </row>
    <row r="21" spans="1:11" ht="13.5" hidden="1">
      <c r="A21" s="43"/>
      <c r="B21" s="556" t="s">
        <v>1124</v>
      </c>
      <c r="C21" s="557">
        <v>41145</v>
      </c>
      <c r="D21" s="558" t="s">
        <v>1137</v>
      </c>
      <c r="E21" s="559">
        <f t="shared" si="1"/>
        <v>0</v>
      </c>
      <c r="F21" s="559">
        <f>582000-582000</f>
        <v>0</v>
      </c>
      <c r="G21" s="562"/>
      <c r="H21" s="559"/>
      <c r="I21" s="587"/>
      <c r="J21" s="559"/>
      <c r="K21" s="563"/>
    </row>
    <row r="22" spans="1:11" ht="13.5">
      <c r="A22" s="43"/>
      <c r="B22" s="569" t="s">
        <v>515</v>
      </c>
      <c r="C22" s="570">
        <v>40871</v>
      </c>
      <c r="D22" s="571" t="s">
        <v>1062</v>
      </c>
      <c r="E22" s="572">
        <f t="shared" si="1"/>
        <v>4826</v>
      </c>
      <c r="F22" s="559"/>
      <c r="G22" s="586">
        <f>588720-583894</f>
        <v>4826</v>
      </c>
      <c r="H22" s="559"/>
      <c r="I22" s="587"/>
      <c r="J22" s="559"/>
      <c r="K22" s="561"/>
    </row>
    <row r="23" spans="1:11" ht="13.5">
      <c r="A23" s="43"/>
      <c r="B23" s="556" t="s">
        <v>336</v>
      </c>
      <c r="C23" s="557">
        <v>40668</v>
      </c>
      <c r="D23" s="558" t="s">
        <v>1051</v>
      </c>
      <c r="E23" s="559">
        <f t="shared" si="1"/>
        <v>20000</v>
      </c>
      <c r="F23" s="559"/>
      <c r="G23" s="586"/>
      <c r="H23" s="559">
        <f>896000-300000-100000-396000-80000</f>
        <v>20000</v>
      </c>
      <c r="I23" s="587"/>
      <c r="J23" s="559"/>
      <c r="K23" s="563"/>
    </row>
    <row r="24" spans="1:11" ht="13.5">
      <c r="A24" s="43"/>
      <c r="B24" s="556" t="s">
        <v>1117</v>
      </c>
      <c r="C24" s="570">
        <v>40970</v>
      </c>
      <c r="D24" s="571" t="s">
        <v>1119</v>
      </c>
      <c r="E24" s="572">
        <f t="shared" si="1"/>
        <v>64951.100000000093</v>
      </c>
      <c r="F24" s="559"/>
      <c r="G24" s="586">
        <f>2912280-2847328.9</f>
        <v>64951.100000000093</v>
      </c>
      <c r="H24" s="559"/>
      <c r="I24" s="560"/>
      <c r="J24" s="559"/>
      <c r="K24" s="561"/>
    </row>
    <row r="25" spans="1:11" ht="13.5">
      <c r="A25" s="37"/>
      <c r="B25" s="44" t="s">
        <v>180</v>
      </c>
      <c r="C25" s="39"/>
      <c r="D25" s="169"/>
      <c r="E25" s="186">
        <f t="shared" ref="E25:J25" si="2">SUM(E11:E24)</f>
        <v>843023.01000000013</v>
      </c>
      <c r="F25" s="186">
        <f t="shared" si="2"/>
        <v>206327.15</v>
      </c>
      <c r="G25" s="186">
        <f t="shared" si="2"/>
        <v>616695.8600000001</v>
      </c>
      <c r="H25" s="186">
        <f t="shared" si="2"/>
        <v>20000</v>
      </c>
      <c r="I25" s="186">
        <f t="shared" si="2"/>
        <v>0</v>
      </c>
      <c r="J25" s="186">
        <f t="shared" si="2"/>
        <v>0</v>
      </c>
      <c r="K25" s="42"/>
    </row>
    <row r="26" spans="1:11" ht="16.5">
      <c r="A26" s="43" t="s">
        <v>181</v>
      </c>
      <c r="B26" s="47"/>
      <c r="C26" s="48"/>
      <c r="D26" s="169"/>
      <c r="E26" s="50"/>
      <c r="F26" s="50"/>
      <c r="G26" s="50"/>
      <c r="H26" s="50"/>
      <c r="I26" s="50"/>
      <c r="J26" s="50"/>
      <c r="K26" s="51"/>
    </row>
    <row r="27" spans="1:11" ht="16.5">
      <c r="A27" s="43" t="s">
        <v>182</v>
      </c>
      <c r="B27" s="47"/>
      <c r="C27" s="48"/>
      <c r="D27" s="169"/>
      <c r="E27" s="50"/>
      <c r="F27" s="50"/>
      <c r="G27" s="50"/>
      <c r="H27" s="50"/>
      <c r="I27" s="50"/>
      <c r="J27" s="50"/>
      <c r="K27" s="51"/>
    </row>
    <row r="28" spans="1:11" ht="16.5">
      <c r="A28" s="46"/>
      <c r="B28" s="38" t="s">
        <v>211</v>
      </c>
      <c r="C28" s="178">
        <v>38400</v>
      </c>
      <c r="D28" s="169" t="s">
        <v>267</v>
      </c>
      <c r="E28" s="176">
        <f>SUM(F28:J28)</f>
        <v>546</v>
      </c>
      <c r="F28" s="45"/>
      <c r="G28" s="59"/>
      <c r="H28" s="59"/>
      <c r="I28" s="59"/>
      <c r="J28" s="59">
        <f>499356-494810-2000-2000</f>
        <v>546</v>
      </c>
      <c r="K28" s="51"/>
    </row>
    <row r="29" spans="1:11" ht="16.5">
      <c r="A29" s="46"/>
      <c r="B29" s="57" t="s">
        <v>280</v>
      </c>
      <c r="C29" s="178">
        <v>38586</v>
      </c>
      <c r="D29" s="169" t="s">
        <v>281</v>
      </c>
      <c r="E29" s="176">
        <f>SUM(F29:J29)</f>
        <v>410</v>
      </c>
      <c r="F29" s="184"/>
      <c r="G29" s="184"/>
      <c r="H29" s="184"/>
      <c r="I29" s="184"/>
      <c r="J29" s="59">
        <f>17471-17061</f>
        <v>410</v>
      </c>
      <c r="K29" s="51"/>
    </row>
    <row r="30" spans="1:11" ht="17.25" thickBot="1">
      <c r="A30" s="46"/>
      <c r="B30" s="38" t="s">
        <v>217</v>
      </c>
      <c r="C30" s="185">
        <v>39139</v>
      </c>
      <c r="D30" s="169" t="s">
        <v>348</v>
      </c>
      <c r="E30" s="176">
        <f>SUM(F30:J30)</f>
        <v>5026</v>
      </c>
      <c r="F30" s="177"/>
      <c r="G30" s="177"/>
      <c r="H30" s="347"/>
      <c r="I30" s="177">
        <f>15026-6000-4000</f>
        <v>5026</v>
      </c>
      <c r="J30" s="50"/>
      <c r="K30" s="51"/>
    </row>
    <row r="31" spans="1:11" ht="17.25" thickBot="1">
      <c r="A31" s="52"/>
      <c r="B31" s="54"/>
      <c r="C31" s="55"/>
      <c r="D31" s="169"/>
      <c r="E31" s="172">
        <f t="shared" ref="E31:J31" si="3">SUM(E28:E30)</f>
        <v>5982</v>
      </c>
      <c r="F31" s="173">
        <f t="shared" si="3"/>
        <v>0</v>
      </c>
      <c r="G31" s="173">
        <f t="shared" si="3"/>
        <v>0</v>
      </c>
      <c r="H31" s="173">
        <f t="shared" si="3"/>
        <v>0</v>
      </c>
      <c r="I31" s="173">
        <f t="shared" si="3"/>
        <v>5026</v>
      </c>
      <c r="J31" s="172">
        <f t="shared" si="3"/>
        <v>956</v>
      </c>
      <c r="K31" s="51"/>
    </row>
    <row r="32" spans="1:11" ht="16.5">
      <c r="A32" s="43" t="s">
        <v>958</v>
      </c>
      <c r="B32" s="54"/>
      <c r="C32" s="555"/>
      <c r="D32" s="169"/>
      <c r="E32" s="58"/>
      <c r="F32" s="554"/>
      <c r="G32" s="554"/>
      <c r="H32" s="554"/>
      <c r="I32" s="554"/>
      <c r="J32" s="58"/>
      <c r="K32" s="51"/>
    </row>
    <row r="33" spans="1:11" ht="16.5">
      <c r="A33" s="133"/>
      <c r="B33" s="566" t="s">
        <v>216</v>
      </c>
      <c r="C33" s="134"/>
      <c r="D33" s="135"/>
      <c r="E33" s="170">
        <f t="shared" ref="E33:J33" si="4">+E31+E32</f>
        <v>5982</v>
      </c>
      <c r="F33" s="171">
        <f t="shared" si="4"/>
        <v>0</v>
      </c>
      <c r="G33" s="171">
        <f t="shared" si="4"/>
        <v>0</v>
      </c>
      <c r="H33" s="171">
        <f t="shared" si="4"/>
        <v>0</v>
      </c>
      <c r="I33" s="170">
        <f t="shared" si="4"/>
        <v>5026</v>
      </c>
      <c r="J33" s="170">
        <f t="shared" si="4"/>
        <v>956</v>
      </c>
      <c r="K33" s="51"/>
    </row>
    <row r="34" spans="1:11" ht="16.5">
      <c r="A34" s="43" t="s">
        <v>961</v>
      </c>
      <c r="B34" s="54"/>
      <c r="C34" s="55"/>
      <c r="D34" s="169"/>
      <c r="E34" s="175"/>
      <c r="F34" s="59"/>
      <c r="G34" s="59"/>
      <c r="H34" s="59"/>
      <c r="I34" s="59"/>
      <c r="J34" s="59"/>
      <c r="K34" s="51"/>
    </row>
    <row r="35" spans="1:11" ht="16.5">
      <c r="A35" s="46"/>
      <c r="B35" s="54" t="s">
        <v>331</v>
      </c>
      <c r="C35" s="547">
        <v>35522</v>
      </c>
      <c r="D35" s="169" t="s">
        <v>954</v>
      </c>
      <c r="E35" s="176">
        <f>SUM(F35:J35)</f>
        <v>99.12</v>
      </c>
      <c r="F35" s="59"/>
      <c r="G35" s="59"/>
      <c r="H35" s="59"/>
      <c r="I35" s="184"/>
      <c r="J35" s="59">
        <v>99.12</v>
      </c>
      <c r="K35" s="51"/>
    </row>
    <row r="36" spans="1:11" ht="16.5">
      <c r="A36" s="46"/>
      <c r="B36" s="57" t="s">
        <v>332</v>
      </c>
      <c r="C36" s="547">
        <v>35522</v>
      </c>
      <c r="D36" s="169" t="s">
        <v>955</v>
      </c>
      <c r="E36" s="176">
        <f>SUM(F36:J36)</f>
        <v>99.12</v>
      </c>
      <c r="F36" s="59"/>
      <c r="G36" s="59"/>
      <c r="H36" s="59"/>
      <c r="I36" s="184"/>
      <c r="J36" s="59">
        <v>99.12</v>
      </c>
      <c r="K36" s="51"/>
    </row>
    <row r="37" spans="1:11" ht="16.5">
      <c r="A37" s="46"/>
      <c r="B37" s="57" t="s">
        <v>375</v>
      </c>
      <c r="C37" s="549">
        <v>39447</v>
      </c>
      <c r="D37" s="169" t="s">
        <v>952</v>
      </c>
      <c r="E37" s="176">
        <f>SUM(F37:J37)</f>
        <v>137.9</v>
      </c>
      <c r="F37" s="59"/>
      <c r="G37" s="59"/>
      <c r="H37" s="59"/>
      <c r="I37" s="184">
        <v>137.9</v>
      </c>
      <c r="J37" s="59"/>
      <c r="K37" s="51"/>
    </row>
    <row r="38" spans="1:11" ht="16.5">
      <c r="A38" s="46"/>
      <c r="B38" s="38" t="s">
        <v>333</v>
      </c>
      <c r="C38" s="548">
        <v>37509</v>
      </c>
      <c r="D38" s="185" t="s">
        <v>956</v>
      </c>
      <c r="E38" s="176">
        <f>SUM(F38:J38)</f>
        <v>396.63</v>
      </c>
      <c r="F38" s="177"/>
      <c r="G38" s="177"/>
      <c r="H38" s="50"/>
      <c r="I38" s="347"/>
      <c r="J38" s="50">
        <v>396.63</v>
      </c>
      <c r="K38" s="51"/>
    </row>
    <row r="39" spans="1:11" ht="16.5">
      <c r="A39" s="46"/>
      <c r="B39" s="38" t="s">
        <v>333</v>
      </c>
      <c r="C39" s="185">
        <v>39562</v>
      </c>
      <c r="D39" s="169" t="s">
        <v>953</v>
      </c>
      <c r="E39" s="176">
        <f>SUM(F39:J39)</f>
        <v>0.81</v>
      </c>
      <c r="F39" s="177"/>
      <c r="G39" s="177"/>
      <c r="H39" s="50"/>
      <c r="I39" s="50">
        <v>0.81</v>
      </c>
      <c r="J39" s="50"/>
      <c r="K39" s="51"/>
    </row>
    <row r="40" spans="1:11" ht="16.5">
      <c r="A40" s="52"/>
      <c r="B40" s="54"/>
      <c r="C40" s="56"/>
      <c r="D40" s="49"/>
      <c r="E40" s="170">
        <f>+SUM(E35:E39)</f>
        <v>733.57999999999993</v>
      </c>
      <c r="F40" s="171">
        <f>+SUM(F35:F39)</f>
        <v>0</v>
      </c>
      <c r="G40" s="171">
        <f>+SUM(G35:G38)</f>
        <v>0</v>
      </c>
      <c r="H40" s="171">
        <f>+SUM(H35:H38)</f>
        <v>0</v>
      </c>
      <c r="I40" s="171">
        <f>+SUM(I35:I39)</f>
        <v>138.71</v>
      </c>
      <c r="J40" s="171">
        <f>+SUM(J35:J39)</f>
        <v>594.87</v>
      </c>
      <c r="K40" s="51"/>
    </row>
    <row r="41" spans="1:11">
      <c r="A41" s="37"/>
      <c r="B41" s="57"/>
      <c r="C41" s="131"/>
      <c r="D41" s="40"/>
      <c r="E41" s="58"/>
      <c r="F41" s="59"/>
      <c r="G41" s="59"/>
      <c r="H41" s="59"/>
      <c r="I41" s="59"/>
      <c r="J41" s="59"/>
      <c r="K41" s="42"/>
    </row>
    <row r="42" spans="1:11" ht="16.5" hidden="1">
      <c r="A42" s="46" t="s">
        <v>183</v>
      </c>
      <c r="B42" s="47"/>
      <c r="C42" s="130"/>
      <c r="D42" s="49"/>
      <c r="E42" s="59"/>
      <c r="F42" s="59"/>
      <c r="G42" s="59"/>
      <c r="H42" s="59"/>
      <c r="I42" s="59"/>
      <c r="J42" s="59"/>
      <c r="K42" s="51"/>
    </row>
    <row r="43" spans="1:11" ht="16.5" hidden="1">
      <c r="A43" s="46"/>
      <c r="B43" s="53" t="s">
        <v>114</v>
      </c>
      <c r="C43" s="132"/>
      <c r="D43" s="8"/>
      <c r="E43" s="516">
        <f t="shared" ref="E43:E53" si="5">SUM(F43:J43)</f>
        <v>0</v>
      </c>
      <c r="F43" s="367">
        <f>50-50</f>
        <v>0</v>
      </c>
      <c r="G43" s="174"/>
      <c r="H43" s="174"/>
      <c r="I43" s="174"/>
      <c r="J43" s="174"/>
      <c r="K43" s="51"/>
    </row>
    <row r="44" spans="1:11" ht="16.5" hidden="1">
      <c r="A44" s="52"/>
      <c r="B44" s="67" t="s">
        <v>111</v>
      </c>
      <c r="C44" s="376"/>
      <c r="D44" s="8"/>
      <c r="E44" s="371">
        <f t="shared" si="5"/>
        <v>0</v>
      </c>
      <c r="F44" s="367"/>
      <c r="G44" s="367"/>
      <c r="H44" s="367"/>
      <c r="I44" s="367"/>
      <c r="J44" s="367"/>
      <c r="K44" s="51"/>
    </row>
    <row r="45" spans="1:11" ht="16.5" hidden="1">
      <c r="A45" s="52"/>
      <c r="B45" s="67" t="s">
        <v>112</v>
      </c>
      <c r="C45" s="376"/>
      <c r="D45" s="8"/>
      <c r="E45" s="371">
        <f t="shared" si="5"/>
        <v>0</v>
      </c>
      <c r="F45" s="367"/>
      <c r="G45" s="367"/>
      <c r="H45" s="367"/>
      <c r="I45" s="367"/>
      <c r="J45" s="367"/>
      <c r="K45" s="51"/>
    </row>
    <row r="46" spans="1:11" ht="16.5" hidden="1">
      <c r="A46" s="52"/>
      <c r="B46" s="67" t="s">
        <v>113</v>
      </c>
      <c r="C46" s="376"/>
      <c r="D46" s="377"/>
      <c r="E46" s="371">
        <f t="shared" si="5"/>
        <v>0</v>
      </c>
      <c r="F46" s="367"/>
      <c r="G46" s="367"/>
      <c r="H46" s="367"/>
      <c r="I46" s="367"/>
      <c r="J46" s="367"/>
      <c r="K46" s="51"/>
    </row>
    <row r="47" spans="1:11" ht="16.5" hidden="1">
      <c r="A47" s="52"/>
      <c r="B47" s="67" t="s">
        <v>160</v>
      </c>
      <c r="C47" s="376"/>
      <c r="D47" s="377"/>
      <c r="E47" s="371">
        <f t="shared" si="5"/>
        <v>0</v>
      </c>
      <c r="F47" s="367"/>
      <c r="G47" s="367"/>
      <c r="H47" s="367"/>
      <c r="I47" s="367"/>
      <c r="J47" s="367"/>
      <c r="K47" s="51"/>
    </row>
    <row r="48" spans="1:11" ht="16.5" hidden="1">
      <c r="A48" s="52"/>
      <c r="B48" s="67" t="s">
        <v>1</v>
      </c>
      <c r="C48" s="376"/>
      <c r="D48" s="377"/>
      <c r="E48" s="371">
        <f t="shared" si="5"/>
        <v>0</v>
      </c>
      <c r="F48" s="367"/>
      <c r="G48" s="367"/>
      <c r="H48" s="367"/>
      <c r="I48" s="367"/>
      <c r="J48" s="367"/>
      <c r="K48" s="51"/>
    </row>
    <row r="49" spans="1:11" ht="16.5" hidden="1">
      <c r="A49" s="52"/>
      <c r="B49" s="67" t="s">
        <v>463</v>
      </c>
      <c r="C49" s="376"/>
      <c r="D49" s="377"/>
      <c r="E49" s="371">
        <f t="shared" si="5"/>
        <v>0</v>
      </c>
      <c r="F49" s="367"/>
      <c r="G49" s="378"/>
      <c r="H49" s="367"/>
      <c r="I49" s="367"/>
      <c r="J49" s="367"/>
      <c r="K49" s="51"/>
    </row>
    <row r="50" spans="1:11" ht="16.5" hidden="1">
      <c r="A50" s="52"/>
      <c r="B50" s="372" t="s">
        <v>470</v>
      </c>
      <c r="C50" s="376"/>
      <c r="D50" s="377"/>
      <c r="E50" s="371">
        <f t="shared" si="5"/>
        <v>0</v>
      </c>
      <c r="F50" s="367"/>
      <c r="G50" s="368"/>
      <c r="H50" s="371"/>
      <c r="I50" s="367"/>
      <c r="J50" s="367"/>
      <c r="K50" s="51"/>
    </row>
    <row r="51" spans="1:11" ht="16.5" hidden="1">
      <c r="A51" s="52"/>
      <c r="B51" s="67" t="s">
        <v>161</v>
      </c>
      <c r="C51" s="376"/>
      <c r="D51" s="377"/>
      <c r="E51" s="371">
        <f t="shared" si="5"/>
        <v>0</v>
      </c>
      <c r="F51" s="367"/>
      <c r="G51" s="518"/>
      <c r="H51" s="367"/>
      <c r="I51" s="367"/>
      <c r="J51" s="367"/>
      <c r="K51" s="51"/>
    </row>
    <row r="52" spans="1:11" ht="16.5" hidden="1">
      <c r="A52" s="52"/>
      <c r="B52" s="67" t="s">
        <v>162</v>
      </c>
      <c r="C52" s="376"/>
      <c r="D52" s="377"/>
      <c r="E52" s="371">
        <f t="shared" si="5"/>
        <v>0</v>
      </c>
      <c r="F52" s="367"/>
      <c r="G52" s="367"/>
      <c r="H52" s="367"/>
      <c r="I52" s="367"/>
      <c r="J52" s="367"/>
      <c r="K52" s="51"/>
    </row>
    <row r="53" spans="1:11" ht="16.5" hidden="1">
      <c r="A53" s="52"/>
      <c r="B53" s="372" t="s">
        <v>511</v>
      </c>
      <c r="C53" s="132"/>
      <c r="D53" s="60"/>
      <c r="E53" s="516">
        <f t="shared" si="5"/>
        <v>0</v>
      </c>
      <c r="F53" s="174"/>
      <c r="G53" s="174"/>
      <c r="H53" s="174"/>
      <c r="I53" s="174"/>
      <c r="J53" s="174"/>
      <c r="K53" s="51"/>
    </row>
    <row r="54" spans="1:11" ht="16.5" hidden="1">
      <c r="A54" s="52"/>
      <c r="B54" s="67" t="s">
        <v>184</v>
      </c>
      <c r="C54" s="376"/>
      <c r="D54" s="377"/>
      <c r="E54" s="371">
        <f>SUM(F54:J54)</f>
        <v>0</v>
      </c>
      <c r="F54" s="367"/>
      <c r="G54" s="367"/>
      <c r="H54" s="367"/>
      <c r="I54" s="367"/>
      <c r="J54" s="367"/>
      <c r="K54" s="51"/>
    </row>
    <row r="55" spans="1:11" ht="16.5" hidden="1">
      <c r="A55" s="52"/>
      <c r="B55" s="67" t="s">
        <v>163</v>
      </c>
      <c r="C55" s="376"/>
      <c r="D55" s="377"/>
      <c r="E55" s="371">
        <f t="shared" ref="E55:E66" si="6">SUM(F55:J55)</f>
        <v>0</v>
      </c>
      <c r="F55" s="367"/>
      <c r="G55" s="367"/>
      <c r="H55" s="367"/>
      <c r="I55" s="367"/>
      <c r="J55" s="367"/>
      <c r="K55" s="51"/>
    </row>
    <row r="56" spans="1:11" ht="16.5" hidden="1">
      <c r="A56" s="52"/>
      <c r="B56" s="67" t="s">
        <v>164</v>
      </c>
      <c r="C56" s="376"/>
      <c r="D56" s="377"/>
      <c r="E56" s="371">
        <f t="shared" si="6"/>
        <v>0</v>
      </c>
      <c r="F56" s="367"/>
      <c r="G56" s="367"/>
      <c r="H56" s="367"/>
      <c r="I56" s="367"/>
      <c r="J56" s="367"/>
      <c r="K56" s="51"/>
    </row>
    <row r="57" spans="1:11" ht="16.5" hidden="1">
      <c r="A57" s="52"/>
      <c r="B57" s="67" t="s">
        <v>459</v>
      </c>
      <c r="C57" s="376"/>
      <c r="D57" s="377"/>
      <c r="E57" s="371">
        <f t="shared" si="6"/>
        <v>0</v>
      </c>
      <c r="F57" s="367"/>
      <c r="G57" s="367"/>
      <c r="H57" s="367"/>
      <c r="I57" s="367"/>
      <c r="J57" s="367"/>
      <c r="K57" s="51"/>
    </row>
    <row r="58" spans="1:11" ht="16.5" hidden="1">
      <c r="A58" s="52"/>
      <c r="B58" s="67" t="s">
        <v>212</v>
      </c>
      <c r="C58" s="376"/>
      <c r="D58" s="377"/>
      <c r="E58" s="371">
        <f t="shared" si="6"/>
        <v>0</v>
      </c>
      <c r="F58" s="367"/>
      <c r="G58" s="367"/>
      <c r="H58" s="367"/>
      <c r="I58" s="367"/>
      <c r="J58" s="367"/>
      <c r="K58" s="51"/>
    </row>
    <row r="59" spans="1:11" ht="16.5" hidden="1">
      <c r="A59" s="52"/>
      <c r="B59" s="67" t="s">
        <v>938</v>
      </c>
      <c r="C59" s="376"/>
      <c r="D59" s="377"/>
      <c r="E59" s="371">
        <f t="shared" si="6"/>
        <v>0</v>
      </c>
      <c r="F59" s="367"/>
      <c r="G59" s="367"/>
      <c r="H59" s="367"/>
      <c r="I59" s="367"/>
      <c r="J59" s="367"/>
      <c r="K59" s="51"/>
    </row>
    <row r="60" spans="1:11" ht="16.5" hidden="1">
      <c r="A60" s="52"/>
      <c r="B60" s="67" t="s">
        <v>185</v>
      </c>
      <c r="C60" s="376"/>
      <c r="D60" s="377"/>
      <c r="E60" s="371">
        <f t="shared" si="6"/>
        <v>0</v>
      </c>
      <c r="F60" s="367"/>
      <c r="G60" s="367"/>
      <c r="H60" s="367"/>
      <c r="I60" s="367"/>
      <c r="J60" s="367"/>
      <c r="K60" s="51"/>
    </row>
    <row r="61" spans="1:11" ht="16.5" hidden="1">
      <c r="A61" s="52"/>
      <c r="B61" s="67" t="s">
        <v>165</v>
      </c>
      <c r="C61" s="376"/>
      <c r="D61" s="377"/>
      <c r="E61" s="371">
        <f t="shared" si="6"/>
        <v>0</v>
      </c>
      <c r="F61" s="367"/>
      <c r="G61" s="367"/>
      <c r="H61" s="367"/>
      <c r="I61" s="367"/>
      <c r="J61" s="367"/>
      <c r="K61" s="51"/>
    </row>
    <row r="62" spans="1:11" ht="16.5" hidden="1">
      <c r="A62" s="52"/>
      <c r="B62" s="372" t="s">
        <v>292</v>
      </c>
      <c r="C62" s="376"/>
      <c r="D62" s="377"/>
      <c r="E62" s="371">
        <f t="shared" si="6"/>
        <v>0</v>
      </c>
      <c r="F62" s="367"/>
      <c r="G62" s="371"/>
      <c r="H62" s="371"/>
      <c r="I62" s="367"/>
      <c r="J62" s="367"/>
      <c r="K62" s="51"/>
    </row>
    <row r="63" spans="1:11" ht="16.5" hidden="1">
      <c r="A63" s="52"/>
      <c r="B63" s="372" t="s">
        <v>290</v>
      </c>
      <c r="C63" s="376"/>
      <c r="D63" s="377"/>
      <c r="E63" s="371">
        <f t="shared" si="6"/>
        <v>0</v>
      </c>
      <c r="F63" s="367"/>
      <c r="G63" s="371"/>
      <c r="H63" s="367"/>
      <c r="I63" s="367"/>
      <c r="J63" s="367"/>
      <c r="K63" s="51"/>
    </row>
    <row r="64" spans="1:11" ht="16.5" hidden="1">
      <c r="A64" s="52"/>
      <c r="B64" s="372" t="s">
        <v>110</v>
      </c>
      <c r="C64" s="376"/>
      <c r="D64" s="377"/>
      <c r="E64" s="371">
        <f t="shared" si="6"/>
        <v>0</v>
      </c>
      <c r="F64" s="367"/>
      <c r="G64" s="367"/>
      <c r="H64" s="367"/>
      <c r="I64" s="367"/>
      <c r="J64" s="367"/>
      <c r="K64" s="51"/>
    </row>
    <row r="65" spans="1:12" ht="16.5" hidden="1">
      <c r="A65" s="52"/>
      <c r="B65" s="61" t="s">
        <v>347</v>
      </c>
      <c r="C65" s="132"/>
      <c r="D65" s="60"/>
      <c r="E65" s="516">
        <f t="shared" si="6"/>
        <v>0</v>
      </c>
      <c r="F65" s="174"/>
      <c r="G65" s="174"/>
      <c r="H65" s="174"/>
      <c r="I65" s="174"/>
      <c r="J65" s="174"/>
      <c r="K65" s="51"/>
    </row>
    <row r="66" spans="1:12" ht="16.5" hidden="1">
      <c r="A66" s="52"/>
      <c r="B66" s="372" t="s">
        <v>291</v>
      </c>
      <c r="C66" s="376"/>
      <c r="D66" s="377"/>
      <c r="E66" s="371">
        <f t="shared" si="6"/>
        <v>0</v>
      </c>
      <c r="F66" s="367"/>
      <c r="G66" s="367"/>
      <c r="H66" s="367"/>
      <c r="I66" s="367"/>
      <c r="J66" s="367"/>
      <c r="K66" s="51"/>
    </row>
    <row r="67" spans="1:12" ht="16.5" hidden="1">
      <c r="A67" s="62" t="s">
        <v>76</v>
      </c>
      <c r="B67" s="63" t="s">
        <v>180</v>
      </c>
      <c r="C67" s="63"/>
      <c r="D67" s="128"/>
      <c r="E67" s="520">
        <f t="shared" ref="E67:J67" si="7">SUM(E43:E66)</f>
        <v>0</v>
      </c>
      <c r="F67" s="520">
        <f t="shared" si="7"/>
        <v>0</v>
      </c>
      <c r="G67" s="520">
        <f t="shared" si="7"/>
        <v>0</v>
      </c>
      <c r="H67" s="520">
        <f t="shared" si="7"/>
        <v>0</v>
      </c>
      <c r="I67" s="520">
        <f t="shared" si="7"/>
        <v>0</v>
      </c>
      <c r="J67" s="520">
        <f t="shared" si="7"/>
        <v>0</v>
      </c>
      <c r="K67" s="51"/>
    </row>
    <row r="68" spans="1:12" ht="17.25" thickBot="1">
      <c r="A68" s="64" t="s">
        <v>186</v>
      </c>
      <c r="B68" s="65"/>
      <c r="C68" s="65"/>
      <c r="D68" s="129"/>
      <c r="E68" s="196">
        <f t="shared" ref="E68:J68" si="8">+E25+E33+E40</f>
        <v>849738.59000000008</v>
      </c>
      <c r="F68" s="196">
        <f t="shared" si="8"/>
        <v>206327.15</v>
      </c>
      <c r="G68" s="196">
        <f t="shared" si="8"/>
        <v>616695.8600000001</v>
      </c>
      <c r="H68" s="196">
        <f t="shared" si="8"/>
        <v>20000</v>
      </c>
      <c r="I68" s="196">
        <f t="shared" si="8"/>
        <v>5164.71</v>
      </c>
      <c r="J68" s="196">
        <f t="shared" si="8"/>
        <v>1550.87</v>
      </c>
      <c r="K68" s="125"/>
      <c r="L68" s="188">
        <f>+E68-TB!C12-TB!C34-TB!C21-TB!C10</f>
        <v>-1.5553496268694289E-9</v>
      </c>
    </row>
    <row r="69" spans="1:12" ht="15" thickTop="1">
      <c r="A69" s="67"/>
      <c r="B69" s="67"/>
      <c r="C69" s="67"/>
      <c r="D69" s="68"/>
      <c r="E69" s="69"/>
      <c r="F69" s="69"/>
      <c r="G69" s="67"/>
      <c r="H69" s="67"/>
      <c r="I69" s="67"/>
      <c r="J69" s="67"/>
      <c r="K69" s="67"/>
    </row>
    <row r="70" spans="1:12" ht="14.25">
      <c r="A70" s="67"/>
      <c r="B70" s="67"/>
      <c r="C70" s="67"/>
      <c r="D70" s="68"/>
      <c r="E70" s="69"/>
      <c r="F70" s="69"/>
      <c r="G70" s="67"/>
      <c r="H70" s="67"/>
      <c r="I70" s="67"/>
      <c r="J70" s="67"/>
      <c r="K70" s="67"/>
    </row>
    <row r="71" spans="1:12" ht="14.25">
      <c r="A71" s="67"/>
      <c r="B71" s="67"/>
      <c r="C71" s="67"/>
      <c r="D71" s="68"/>
      <c r="E71" s="69"/>
      <c r="F71" s="69"/>
      <c r="G71" s="67"/>
      <c r="H71" s="67"/>
      <c r="I71" s="67"/>
      <c r="J71" s="67"/>
      <c r="K71" s="67"/>
    </row>
    <row r="72" spans="1:12" ht="14.25">
      <c r="B72" s="20"/>
      <c r="C72" s="20"/>
      <c r="D72" s="20"/>
      <c r="E72" s="19"/>
      <c r="F72" s="9"/>
      <c r="G72" s="2" t="s">
        <v>77</v>
      </c>
      <c r="H72" s="20"/>
      <c r="I72" s="20"/>
    </row>
    <row r="73" spans="1:12">
      <c r="D73" s="20"/>
      <c r="F73" s="9"/>
      <c r="I73" s="20"/>
    </row>
    <row r="74" spans="1:12" ht="15.75">
      <c r="D74" s="20"/>
      <c r="E74" s="72"/>
      <c r="F74" s="124"/>
      <c r="G74" s="567"/>
    </row>
    <row r="75" spans="1:12" ht="15.75">
      <c r="A75" s="7"/>
      <c r="B75" s="5"/>
      <c r="C75" s="5"/>
      <c r="D75" s="568"/>
      <c r="E75" s="9"/>
      <c r="F75" s="19"/>
      <c r="G75" s="3" t="s">
        <v>78</v>
      </c>
      <c r="I75" s="70"/>
    </row>
    <row r="76" spans="1:12" ht="15">
      <c r="D76" s="20"/>
      <c r="F76" s="19"/>
      <c r="G76" s="4" t="s">
        <v>79</v>
      </c>
      <c r="I76" s="71"/>
    </row>
  </sheetData>
  <sortState ref="B18:L23">
    <sortCondition ref="B18"/>
  </sortState>
  <mergeCells count="8">
    <mergeCell ref="B1:K1"/>
    <mergeCell ref="A2:K2"/>
    <mergeCell ref="B3:K3"/>
    <mergeCell ref="B4:K4"/>
    <mergeCell ref="A7:B8"/>
    <mergeCell ref="C7:D7"/>
    <mergeCell ref="K7:K8"/>
    <mergeCell ref="G7:G8"/>
  </mergeCells>
  <phoneticPr fontId="11" type="noConversion"/>
  <pageMargins left="0.51" right="0.17" top="0.95" bottom="0.28000000000000003" header="0.2" footer="0.17"/>
  <pageSetup paperSize="258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>
      <selection activeCell="H31" sqref="H31"/>
    </sheetView>
  </sheetViews>
  <sheetFormatPr defaultRowHeight="12.75"/>
  <cols>
    <col min="1" max="1" width="3.140625" customWidth="1"/>
    <col min="2" max="2" width="19.5703125" customWidth="1"/>
    <col min="3" max="3" width="8" customWidth="1"/>
    <col min="4" max="4" width="10.42578125" customWidth="1"/>
    <col min="5" max="5" width="12.28515625" customWidth="1"/>
    <col min="6" max="6" width="9.42578125" customWidth="1"/>
    <col min="7" max="7" width="9.140625" customWidth="1"/>
    <col min="8" max="8" width="11.42578125" customWidth="1"/>
    <col min="9" max="9" width="12.42578125" customWidth="1"/>
    <col min="10" max="10" width="9.5703125" customWidth="1"/>
    <col min="11" max="11" width="11.140625" bestFit="1" customWidth="1"/>
  </cols>
  <sheetData>
    <row r="1" spans="1:11" ht="18.75">
      <c r="B1" s="695" t="s">
        <v>7</v>
      </c>
      <c r="C1" s="695"/>
      <c r="D1" s="695"/>
      <c r="E1" s="695"/>
      <c r="F1" s="695"/>
      <c r="G1" s="695"/>
      <c r="H1" s="695"/>
      <c r="I1" s="695"/>
      <c r="J1" s="695"/>
    </row>
    <row r="2" spans="1:11" ht="18.75">
      <c r="B2" s="695" t="s">
        <v>418</v>
      </c>
      <c r="C2" s="695"/>
      <c r="D2" s="695"/>
      <c r="E2" s="695"/>
      <c r="F2" s="695"/>
      <c r="G2" s="695"/>
      <c r="H2" s="695"/>
      <c r="I2" s="695"/>
      <c r="J2" s="695"/>
    </row>
    <row r="3" spans="1:11" ht="18.75">
      <c r="B3" s="695" t="s">
        <v>84</v>
      </c>
      <c r="C3" s="695"/>
      <c r="D3" s="695"/>
      <c r="E3" s="695"/>
      <c r="F3" s="695"/>
      <c r="G3" s="695"/>
      <c r="H3" s="695"/>
      <c r="I3" s="695"/>
      <c r="J3" s="695"/>
    </row>
    <row r="4" spans="1:11" ht="14.25">
      <c r="B4" s="708" t="str">
        <f>+TB!A4</f>
        <v>As of September 30, 2012</v>
      </c>
      <c r="C4" s="708"/>
      <c r="D4" s="708"/>
      <c r="E4" s="708"/>
      <c r="F4" s="708"/>
      <c r="G4" s="708"/>
      <c r="H4" s="708"/>
      <c r="I4" s="708"/>
      <c r="J4" s="708"/>
      <c r="K4" s="189"/>
    </row>
    <row r="5" spans="1:11">
      <c r="A5" s="240"/>
      <c r="B5" s="241"/>
      <c r="C5" s="241"/>
      <c r="D5" s="241"/>
      <c r="E5" s="241"/>
      <c r="F5" s="242"/>
      <c r="G5" s="242"/>
      <c r="H5" s="242"/>
      <c r="I5" s="242"/>
      <c r="J5" s="241"/>
    </row>
    <row r="6" spans="1:11" ht="16.5" thickBot="1">
      <c r="A6" s="243" t="s">
        <v>76</v>
      </c>
      <c r="B6" s="244"/>
      <c r="C6" s="244"/>
      <c r="D6" s="244"/>
      <c r="E6" s="244"/>
      <c r="F6" s="245"/>
      <c r="G6" s="246"/>
      <c r="H6" s="245"/>
      <c r="I6" s="245"/>
      <c r="J6" s="244"/>
    </row>
    <row r="7" spans="1:11">
      <c r="A7" s="709" t="s">
        <v>405</v>
      </c>
      <c r="B7" s="710"/>
      <c r="C7" s="247" t="s">
        <v>406</v>
      </c>
      <c r="D7" s="248" t="s">
        <v>172</v>
      </c>
      <c r="E7" s="249" t="s">
        <v>407</v>
      </c>
      <c r="F7" s="715" t="s">
        <v>408</v>
      </c>
      <c r="G7" s="716"/>
      <c r="H7" s="716"/>
      <c r="I7" s="716"/>
      <c r="J7" s="250"/>
    </row>
    <row r="8" spans="1:11">
      <c r="A8" s="711"/>
      <c r="B8" s="712"/>
      <c r="C8" s="251" t="s">
        <v>409</v>
      </c>
      <c r="D8" s="252" t="s">
        <v>410</v>
      </c>
      <c r="E8" s="253" t="s">
        <v>411</v>
      </c>
      <c r="F8" s="254" t="s">
        <v>412</v>
      </c>
      <c r="G8" s="254" t="s">
        <v>413</v>
      </c>
      <c r="H8" s="254" t="s">
        <v>414</v>
      </c>
      <c r="I8" s="255" t="s">
        <v>415</v>
      </c>
      <c r="J8" s="256" t="s">
        <v>109</v>
      </c>
    </row>
    <row r="9" spans="1:11">
      <c r="A9" s="713"/>
      <c r="B9" s="714"/>
      <c r="C9" s="251"/>
      <c r="D9" s="257"/>
      <c r="E9" s="253"/>
      <c r="F9" s="258"/>
      <c r="G9" s="258"/>
      <c r="H9" s="258"/>
      <c r="I9" s="259"/>
      <c r="J9" s="260"/>
    </row>
    <row r="10" spans="1:11" ht="15">
      <c r="A10" s="261"/>
      <c r="B10" s="262"/>
      <c r="C10" s="263"/>
      <c r="D10" s="264"/>
      <c r="E10" s="265"/>
      <c r="F10" s="266"/>
      <c r="G10" s="254"/>
      <c r="H10" s="267"/>
      <c r="I10" s="268"/>
      <c r="J10" s="269"/>
    </row>
    <row r="11" spans="1:11" ht="39">
      <c r="A11" s="275">
        <v>1</v>
      </c>
      <c r="B11" s="201" t="s">
        <v>420</v>
      </c>
      <c r="C11" s="277">
        <v>40040</v>
      </c>
      <c r="D11" s="270" t="s">
        <v>462</v>
      </c>
      <c r="E11" s="271">
        <f>SUM(F11:J11)</f>
        <v>2100000</v>
      </c>
      <c r="F11" s="272"/>
      <c r="G11" s="278"/>
      <c r="H11" s="272"/>
      <c r="I11" s="272">
        <v>2100000</v>
      </c>
      <c r="J11" s="274"/>
    </row>
    <row r="12" spans="1:11" ht="15">
      <c r="A12" s="275"/>
      <c r="B12" s="276"/>
      <c r="C12" s="277"/>
      <c r="D12" s="270"/>
      <c r="E12" s="279"/>
      <c r="F12" s="278"/>
      <c r="G12" s="272"/>
      <c r="H12" s="273"/>
      <c r="I12" s="272"/>
      <c r="J12" s="274"/>
    </row>
    <row r="13" spans="1:11" ht="15">
      <c r="A13" s="275"/>
      <c r="B13" s="276"/>
      <c r="C13" s="277"/>
      <c r="D13" s="270"/>
      <c r="E13" s="280"/>
      <c r="F13" s="278"/>
      <c r="G13" s="281"/>
      <c r="H13" s="273"/>
      <c r="I13" s="272"/>
      <c r="J13" s="274"/>
    </row>
    <row r="14" spans="1:11" ht="15.75" thickBot="1">
      <c r="A14" s="282" t="s">
        <v>246</v>
      </c>
      <c r="B14" s="283"/>
      <c r="C14" s="284"/>
      <c r="D14" s="285"/>
      <c r="E14" s="286">
        <f>SUM(E11:E13)</f>
        <v>2100000</v>
      </c>
      <c r="F14" s="287">
        <f>SUM(F11:F13)</f>
        <v>0</v>
      </c>
      <c r="G14" s="287">
        <f>SUM(G11:G13)</f>
        <v>0</v>
      </c>
      <c r="H14" s="287">
        <f>SUM(H11:H13)</f>
        <v>0</v>
      </c>
      <c r="I14" s="287">
        <f>SUM(I11:I13)</f>
        <v>2100000</v>
      </c>
      <c r="J14" s="288"/>
    </row>
    <row r="15" spans="1:11">
      <c r="A15" s="289"/>
      <c r="B15" s="289"/>
      <c r="C15" s="289"/>
      <c r="D15" s="289"/>
      <c r="F15" s="290"/>
      <c r="G15" s="290"/>
      <c r="H15" s="290"/>
      <c r="I15" s="290"/>
      <c r="J15" s="289"/>
      <c r="K15" s="291">
        <f>+E14-TB!C31</f>
        <v>0</v>
      </c>
    </row>
    <row r="16" spans="1:11">
      <c r="A16" s="289"/>
      <c r="B16" s="289"/>
      <c r="C16" s="289"/>
      <c r="D16" s="289"/>
      <c r="F16" s="290"/>
      <c r="G16" s="290"/>
      <c r="H16" s="290"/>
      <c r="I16" s="290"/>
      <c r="J16" s="289"/>
      <c r="K16" s="291"/>
    </row>
    <row r="17" spans="1:11">
      <c r="A17" s="289"/>
      <c r="B17" s="289"/>
      <c r="C17" s="289"/>
      <c r="D17" s="289"/>
      <c r="F17" s="290"/>
      <c r="G17" s="290"/>
      <c r="H17" s="290"/>
      <c r="I17" s="290"/>
      <c r="J17" s="289"/>
      <c r="K17" s="291"/>
    </row>
    <row r="18" spans="1:11">
      <c r="A18" s="289"/>
      <c r="B18" s="289"/>
      <c r="C18" s="289"/>
      <c r="D18" s="289"/>
      <c r="F18" s="290"/>
      <c r="G18" s="290"/>
      <c r="H18" s="290"/>
      <c r="I18" s="290"/>
      <c r="J18" s="289"/>
      <c r="K18" s="291"/>
    </row>
    <row r="19" spans="1:11">
      <c r="A19" s="289"/>
      <c r="B19" s="289"/>
      <c r="C19" s="289"/>
      <c r="D19" s="289"/>
      <c r="F19" s="290"/>
      <c r="G19" s="290"/>
      <c r="H19" s="290"/>
      <c r="I19" s="290"/>
      <c r="J19" s="289"/>
      <c r="K19" s="291"/>
    </row>
    <row r="20" spans="1:11">
      <c r="A20" s="289"/>
      <c r="B20" s="289"/>
      <c r="C20" s="289"/>
      <c r="D20" s="289"/>
      <c r="F20" s="290"/>
      <c r="G20" s="290"/>
      <c r="H20" s="290"/>
      <c r="I20" s="290"/>
      <c r="J20" s="289"/>
      <c r="K20" s="291"/>
    </row>
    <row r="21" spans="1:11">
      <c r="A21" s="289"/>
      <c r="B21" s="289"/>
      <c r="C21" s="289"/>
      <c r="D21" s="289"/>
      <c r="F21" s="290"/>
      <c r="G21" s="290"/>
      <c r="H21" s="290"/>
      <c r="I21" s="290"/>
      <c r="J21" s="289"/>
      <c r="K21" s="291"/>
    </row>
    <row r="22" spans="1:11" ht="18.75">
      <c r="B22" s="355"/>
      <c r="C22" s="355"/>
      <c r="D22" s="355" t="s">
        <v>419</v>
      </c>
      <c r="E22" s="355"/>
      <c r="F22" s="355"/>
      <c r="G22" s="355"/>
      <c r="H22" s="355"/>
      <c r="I22" s="355"/>
      <c r="J22" s="355"/>
    </row>
    <row r="23" spans="1:11" ht="14.25">
      <c r="A23" s="708" t="str">
        <f>+B4</f>
        <v>As of September 30, 2012</v>
      </c>
      <c r="B23" s="708"/>
      <c r="C23" s="708"/>
      <c r="D23" s="708"/>
      <c r="E23" s="708"/>
      <c r="F23" s="708"/>
      <c r="G23" s="708"/>
      <c r="H23" s="708"/>
      <c r="I23" s="708"/>
      <c r="J23" s="708"/>
      <c r="K23" s="189"/>
    </row>
    <row r="24" spans="1:11">
      <c r="A24" s="240"/>
      <c r="B24" s="241"/>
      <c r="C24" s="241"/>
      <c r="D24" s="241"/>
      <c r="E24" s="241"/>
      <c r="F24" s="242"/>
      <c r="G24" s="242"/>
      <c r="H24" s="242"/>
      <c r="I24" s="242"/>
      <c r="J24" s="241"/>
    </row>
    <row r="25" spans="1:11" ht="16.5" thickBot="1">
      <c r="A25" s="243" t="s">
        <v>76</v>
      </c>
      <c r="B25" s="244"/>
      <c r="C25" s="244"/>
      <c r="D25" s="244"/>
      <c r="E25" s="244"/>
      <c r="F25" s="245"/>
      <c r="G25" s="246"/>
      <c r="H25" s="245"/>
      <c r="I25" s="245"/>
      <c r="J25" s="244"/>
    </row>
    <row r="26" spans="1:11" ht="14.25">
      <c r="A26" s="709" t="s">
        <v>416</v>
      </c>
      <c r="B26" s="710"/>
      <c r="C26" s="292" t="s">
        <v>406</v>
      </c>
      <c r="D26" s="293" t="s">
        <v>172</v>
      </c>
      <c r="E26" s="294" t="s">
        <v>407</v>
      </c>
      <c r="F26" s="718" t="s">
        <v>408</v>
      </c>
      <c r="G26" s="719"/>
      <c r="H26" s="719"/>
      <c r="I26" s="719"/>
      <c r="J26" s="295"/>
    </row>
    <row r="27" spans="1:11" ht="14.25">
      <c r="A27" s="711"/>
      <c r="B27" s="712"/>
      <c r="C27" s="296" t="s">
        <v>409</v>
      </c>
      <c r="D27" s="297" t="s">
        <v>410</v>
      </c>
      <c r="E27" s="241" t="s">
        <v>411</v>
      </c>
      <c r="F27" s="298" t="s">
        <v>412</v>
      </c>
      <c r="G27" s="298" t="s">
        <v>413</v>
      </c>
      <c r="H27" s="298" t="s">
        <v>414</v>
      </c>
      <c r="I27" s="299" t="s">
        <v>415</v>
      </c>
      <c r="J27" s="380" t="s">
        <v>109</v>
      </c>
    </row>
    <row r="28" spans="1:11" ht="14.25">
      <c r="A28" s="713"/>
      <c r="B28" s="714"/>
      <c r="C28" s="296"/>
      <c r="D28" s="301"/>
      <c r="E28" s="1"/>
      <c r="F28" s="302"/>
      <c r="G28" s="302"/>
      <c r="H28" s="302"/>
      <c r="I28" s="303"/>
      <c r="J28" s="304"/>
    </row>
    <row r="29" spans="1:11" ht="15">
      <c r="A29" s="261"/>
      <c r="B29" s="262"/>
      <c r="C29" s="305"/>
      <c r="D29" s="306"/>
      <c r="E29" s="307"/>
      <c r="F29" s="308"/>
      <c r="G29" s="298"/>
      <c r="H29" s="309"/>
      <c r="I29" s="310"/>
      <c r="J29" s="311"/>
    </row>
    <row r="30" spans="1:11" ht="15" hidden="1">
      <c r="A30" s="345">
        <v>1</v>
      </c>
      <c r="B30" s="312" t="s">
        <v>457</v>
      </c>
      <c r="C30" s="313">
        <v>39940</v>
      </c>
      <c r="D30" s="314" t="s">
        <v>458</v>
      </c>
      <c r="E30" s="315">
        <f>SUM(F30:I30)</f>
        <v>0</v>
      </c>
      <c r="F30" s="316"/>
      <c r="G30" s="316"/>
      <c r="H30" s="316">
        <f>100000-100000</f>
        <v>0</v>
      </c>
      <c r="I30" s="316"/>
      <c r="J30" s="317"/>
    </row>
    <row r="31" spans="1:11" ht="15">
      <c r="A31" s="345">
        <v>1</v>
      </c>
      <c r="B31" s="312" t="s">
        <v>949</v>
      </c>
      <c r="C31" s="319">
        <v>40387</v>
      </c>
      <c r="D31" s="546" t="s">
        <v>950</v>
      </c>
      <c r="E31" s="315">
        <f>SUM(F31:I31)</f>
        <v>21330.19</v>
      </c>
      <c r="F31" s="316"/>
      <c r="G31" s="322"/>
      <c r="H31" s="322"/>
      <c r="I31" s="322">
        <v>21330.19</v>
      </c>
      <c r="J31" s="317"/>
    </row>
    <row r="32" spans="1:11" ht="15">
      <c r="A32" s="275"/>
      <c r="B32" s="318"/>
      <c r="C32" s="319"/>
      <c r="D32" s="320"/>
      <c r="E32" s="321"/>
      <c r="F32" s="316"/>
      <c r="G32" s="322"/>
      <c r="H32" s="322"/>
      <c r="I32" s="316"/>
      <c r="J32" s="317"/>
    </row>
    <row r="33" spans="1:11" ht="15">
      <c r="A33" s="275"/>
      <c r="B33" s="318"/>
      <c r="C33" s="319"/>
      <c r="D33" s="320"/>
      <c r="E33" s="321"/>
      <c r="F33" s="316"/>
      <c r="G33" s="322"/>
      <c r="H33" s="322"/>
      <c r="I33" s="316"/>
      <c r="J33" s="317"/>
    </row>
    <row r="34" spans="1:11" ht="15">
      <c r="A34" s="275"/>
      <c r="B34" s="318"/>
      <c r="C34" s="319"/>
      <c r="D34" s="320"/>
      <c r="E34" s="321"/>
      <c r="F34" s="316"/>
      <c r="G34" s="323"/>
      <c r="H34" s="316"/>
      <c r="I34" s="316"/>
      <c r="J34" s="317"/>
    </row>
    <row r="35" spans="1:11" ht="15">
      <c r="A35" s="275"/>
      <c r="B35" s="318"/>
      <c r="C35" s="319"/>
      <c r="D35" s="320"/>
      <c r="E35" s="324"/>
      <c r="F35" s="323"/>
      <c r="G35" s="316"/>
      <c r="H35" s="322"/>
      <c r="I35" s="316"/>
      <c r="J35" s="317"/>
    </row>
    <row r="36" spans="1:11" ht="15">
      <c r="A36" s="275"/>
      <c r="B36" s="276"/>
      <c r="C36" s="325"/>
      <c r="D36" s="320"/>
      <c r="E36" s="326"/>
      <c r="F36" s="323"/>
      <c r="G36" s="327"/>
      <c r="H36" s="322"/>
      <c r="I36" s="316"/>
      <c r="J36" s="317"/>
    </row>
    <row r="37" spans="1:11" ht="17.25" thickBot="1">
      <c r="A37" s="282" t="s">
        <v>246</v>
      </c>
      <c r="B37" s="283"/>
      <c r="C37" s="328"/>
      <c r="D37" s="329"/>
      <c r="E37" s="330">
        <f>SUM(E30:E36)</f>
        <v>21330.19</v>
      </c>
      <c r="F37" s="330">
        <f>SUM(F30:F36)</f>
        <v>0</v>
      </c>
      <c r="G37" s="330">
        <f>SUM(G30:G36)</f>
        <v>0</v>
      </c>
      <c r="H37" s="330">
        <f>SUM(H30:H36)</f>
        <v>0</v>
      </c>
      <c r="I37" s="330">
        <f>SUM(I30:I36)</f>
        <v>21330.19</v>
      </c>
      <c r="J37" s="331"/>
      <c r="K37" s="291">
        <f>+E37-TB!C28</f>
        <v>0</v>
      </c>
    </row>
    <row r="38" spans="1:11">
      <c r="A38" s="289"/>
      <c r="B38" s="289"/>
      <c r="C38" s="289"/>
      <c r="D38" s="289"/>
      <c r="E38" s="289"/>
      <c r="F38" s="290"/>
      <c r="G38" s="290"/>
      <c r="H38" s="290"/>
      <c r="I38" s="290"/>
      <c r="J38" s="289"/>
    </row>
    <row r="39" spans="1:11">
      <c r="A39" s="289"/>
      <c r="B39" s="289"/>
      <c r="C39" s="289"/>
      <c r="D39" s="289"/>
      <c r="E39" s="289"/>
      <c r="F39" s="290"/>
      <c r="G39" s="290"/>
      <c r="H39" s="290"/>
      <c r="I39" s="290"/>
      <c r="J39" s="289"/>
    </row>
    <row r="40" spans="1:11">
      <c r="A40" s="289"/>
      <c r="B40" s="289"/>
      <c r="C40" s="289"/>
      <c r="D40" s="289"/>
      <c r="E40" s="289"/>
      <c r="F40" s="290"/>
      <c r="G40" s="290"/>
      <c r="H40" s="290"/>
      <c r="I40" s="290"/>
      <c r="J40" s="289"/>
    </row>
    <row r="41" spans="1:11">
      <c r="A41" s="289"/>
      <c r="B41" s="289"/>
      <c r="C41" s="289"/>
      <c r="D41" s="289"/>
      <c r="E41" s="289"/>
      <c r="F41" s="290"/>
      <c r="G41" s="290"/>
      <c r="H41" s="290"/>
      <c r="I41" s="290"/>
      <c r="J41" s="289"/>
    </row>
    <row r="42" spans="1:11" ht="14.25">
      <c r="A42" s="289"/>
      <c r="B42" s="289"/>
      <c r="C42" s="289"/>
      <c r="D42" s="289"/>
      <c r="E42" s="289"/>
      <c r="F42" s="290"/>
      <c r="G42" s="332" t="s">
        <v>77</v>
      </c>
      <c r="H42" s="290"/>
      <c r="I42" s="290"/>
      <c r="J42" s="289"/>
    </row>
    <row r="43" spans="1:11" ht="14.25">
      <c r="A43" s="289"/>
      <c r="B43" s="289"/>
      <c r="C43" s="289"/>
      <c r="D43" s="289"/>
      <c r="E43" s="289"/>
      <c r="F43" s="290"/>
      <c r="G43" s="333"/>
      <c r="H43" s="290"/>
      <c r="I43" s="290"/>
      <c r="J43" s="289"/>
    </row>
    <row r="44" spans="1:11" ht="14.25">
      <c r="A44" s="289"/>
      <c r="B44" s="289"/>
      <c r="C44" s="289"/>
      <c r="D44" s="289"/>
      <c r="E44" s="289"/>
      <c r="F44" s="290"/>
      <c r="G44" s="334"/>
      <c r="H44" s="290"/>
      <c r="I44" s="290"/>
      <c r="J44" s="289"/>
    </row>
    <row r="45" spans="1:11" ht="14.25">
      <c r="A45" s="289"/>
      <c r="B45" s="289"/>
      <c r="C45" s="289"/>
      <c r="D45" s="289"/>
      <c r="E45" s="289"/>
      <c r="F45" s="290"/>
      <c r="G45" s="332" t="s">
        <v>78</v>
      </c>
      <c r="H45" s="290"/>
      <c r="I45" s="290"/>
      <c r="J45" s="289"/>
    </row>
    <row r="46" spans="1:11" ht="15">
      <c r="A46" s="289"/>
      <c r="B46" s="289"/>
      <c r="C46" s="289"/>
      <c r="D46" s="289"/>
      <c r="E46" s="289"/>
      <c r="F46" s="290"/>
      <c r="G46" s="335" t="s">
        <v>79</v>
      </c>
      <c r="H46" s="290"/>
      <c r="I46" s="290"/>
      <c r="J46" s="289"/>
    </row>
    <row r="47" spans="1:11">
      <c r="A47" s="289"/>
      <c r="B47" s="289"/>
      <c r="C47" s="289"/>
      <c r="D47" s="289"/>
      <c r="E47" s="289"/>
      <c r="F47" s="290"/>
      <c r="G47" s="290"/>
      <c r="H47" s="290"/>
      <c r="I47" s="290"/>
      <c r="J47" s="289"/>
    </row>
    <row r="48" spans="1:11" ht="18.75">
      <c r="A48" s="695" t="s">
        <v>7</v>
      </c>
      <c r="B48" s="695"/>
      <c r="C48" s="695"/>
      <c r="D48" s="695"/>
      <c r="E48" s="695"/>
      <c r="F48" s="695"/>
      <c r="G48" s="695"/>
      <c r="H48" s="695"/>
      <c r="I48" s="695"/>
      <c r="J48" s="695"/>
    </row>
    <row r="49" spans="1:10" ht="18.75">
      <c r="A49" s="695" t="s">
        <v>84</v>
      </c>
      <c r="B49" s="695"/>
      <c r="C49" s="695"/>
      <c r="D49" s="695"/>
      <c r="E49" s="695"/>
      <c r="F49" s="695"/>
      <c r="G49" s="695"/>
      <c r="H49" s="695"/>
      <c r="I49" s="695"/>
      <c r="J49" s="695"/>
    </row>
    <row r="50" spans="1:10" ht="18.75">
      <c r="A50" s="695" t="s">
        <v>421</v>
      </c>
      <c r="B50" s="695"/>
      <c r="C50" s="695"/>
      <c r="D50" s="695"/>
      <c r="E50" s="695"/>
      <c r="F50" s="695"/>
      <c r="G50" s="695"/>
      <c r="H50" s="695"/>
      <c r="I50" s="695"/>
      <c r="J50" s="695"/>
    </row>
    <row r="51" spans="1:10" ht="14.25">
      <c r="A51" s="708" t="str">
        <f>+A23</f>
        <v>As of September 30, 2012</v>
      </c>
      <c r="B51" s="717"/>
      <c r="C51" s="717"/>
      <c r="D51" s="717"/>
      <c r="E51" s="717"/>
      <c r="F51" s="717"/>
      <c r="G51" s="717"/>
      <c r="H51" s="717"/>
      <c r="I51" s="717"/>
      <c r="J51" s="717"/>
    </row>
    <row r="52" spans="1:10">
      <c r="A52" s="240"/>
      <c r="B52" s="241"/>
      <c r="C52" s="241"/>
      <c r="D52" s="241"/>
      <c r="E52" s="241"/>
      <c r="F52" s="242"/>
      <c r="G52" s="242"/>
      <c r="H52" s="242"/>
      <c r="I52" s="242"/>
      <c r="J52" s="241"/>
    </row>
    <row r="53" spans="1:10" ht="16.5" thickBot="1">
      <c r="A53" s="243" t="s">
        <v>76</v>
      </c>
      <c r="B53" s="244"/>
      <c r="C53" s="244"/>
      <c r="D53" s="244"/>
      <c r="E53" s="244"/>
      <c r="F53" s="245"/>
      <c r="G53" s="246"/>
      <c r="H53" s="245"/>
      <c r="I53" s="245"/>
      <c r="J53" s="244"/>
    </row>
    <row r="54" spans="1:10" ht="14.25">
      <c r="A54" s="709" t="s">
        <v>417</v>
      </c>
      <c r="B54" s="710"/>
      <c r="C54" s="292" t="s">
        <v>406</v>
      </c>
      <c r="D54" s="293" t="s">
        <v>172</v>
      </c>
      <c r="E54" s="294" t="s">
        <v>407</v>
      </c>
      <c r="F54" s="718" t="s">
        <v>408</v>
      </c>
      <c r="G54" s="719"/>
      <c r="H54" s="719"/>
      <c r="I54" s="719"/>
      <c r="J54" s="295"/>
    </row>
    <row r="55" spans="1:10" ht="14.25">
      <c r="A55" s="711"/>
      <c r="B55" s="712"/>
      <c r="C55" s="296" t="s">
        <v>409</v>
      </c>
      <c r="D55" s="297" t="s">
        <v>410</v>
      </c>
      <c r="E55" s="241" t="s">
        <v>411</v>
      </c>
      <c r="F55" s="298" t="s">
        <v>412</v>
      </c>
      <c r="G55" s="298" t="s">
        <v>413</v>
      </c>
      <c r="H55" s="298" t="s">
        <v>414</v>
      </c>
      <c r="I55" s="299" t="s">
        <v>415</v>
      </c>
      <c r="J55" s="300" t="s">
        <v>109</v>
      </c>
    </row>
    <row r="56" spans="1:10" ht="14.25">
      <c r="A56" s="713"/>
      <c r="B56" s="714"/>
      <c r="C56" s="296"/>
      <c r="D56" s="301"/>
      <c r="E56" s="1"/>
      <c r="F56" s="302"/>
      <c r="G56" s="302"/>
      <c r="H56" s="302"/>
      <c r="I56" s="303"/>
      <c r="J56" s="304"/>
    </row>
    <row r="57" spans="1:10" ht="15">
      <c r="A57" s="261"/>
      <c r="B57" s="262"/>
      <c r="C57" s="305"/>
      <c r="D57" s="306"/>
      <c r="E57" s="307"/>
      <c r="F57" s="308"/>
      <c r="G57" s="298"/>
      <c r="H57" s="309"/>
      <c r="I57" s="310"/>
      <c r="J57" s="311"/>
    </row>
    <row r="58" spans="1:10" ht="15">
      <c r="A58" s="275"/>
      <c r="B58" s="337"/>
      <c r="C58" s="338"/>
      <c r="D58" s="306"/>
      <c r="E58" s="315"/>
      <c r="F58" s="340"/>
      <c r="G58" s="316"/>
      <c r="H58" s="316"/>
      <c r="I58" s="339"/>
      <c r="J58" s="336"/>
    </row>
    <row r="59" spans="1:10" ht="15">
      <c r="A59" s="275"/>
      <c r="B59" s="337"/>
      <c r="C59" s="338"/>
      <c r="D59" s="306"/>
      <c r="E59" s="315"/>
      <c r="F59" s="341"/>
      <c r="G59" s="341"/>
      <c r="H59" s="316"/>
      <c r="I59" s="316"/>
      <c r="J59" s="317"/>
    </row>
    <row r="60" spans="1:10" ht="15">
      <c r="A60" s="275"/>
      <c r="B60" s="337"/>
      <c r="C60" s="338"/>
      <c r="D60" s="306"/>
      <c r="E60" s="315"/>
      <c r="F60" s="316"/>
      <c r="G60" s="316"/>
      <c r="H60" s="322"/>
      <c r="I60" s="316"/>
      <c r="J60" s="317"/>
    </row>
    <row r="61" spans="1:10" ht="15">
      <c r="A61" s="275"/>
      <c r="B61" s="337"/>
      <c r="C61" s="338"/>
      <c r="D61" s="306"/>
      <c r="E61" s="315"/>
      <c r="F61" s="316"/>
      <c r="G61" s="322"/>
      <c r="H61" s="322"/>
      <c r="I61" s="316"/>
      <c r="J61" s="317"/>
    </row>
    <row r="62" spans="1:10" ht="15">
      <c r="A62" s="275"/>
      <c r="B62" s="337"/>
      <c r="C62" s="338"/>
      <c r="D62" s="306"/>
      <c r="E62" s="342"/>
      <c r="F62" s="316"/>
      <c r="G62" s="322"/>
      <c r="H62" s="322"/>
      <c r="I62" s="316"/>
      <c r="J62" s="317"/>
    </row>
    <row r="63" spans="1:10" ht="15">
      <c r="A63" s="275"/>
      <c r="B63" s="337"/>
      <c r="C63" s="338"/>
      <c r="D63" s="306"/>
      <c r="E63" s="342"/>
      <c r="F63" s="316"/>
      <c r="G63" s="322"/>
      <c r="H63" s="322"/>
      <c r="I63" s="316"/>
      <c r="J63" s="317"/>
    </row>
    <row r="64" spans="1:10" ht="15">
      <c r="A64" s="275"/>
      <c r="B64" s="318"/>
      <c r="C64" s="325"/>
      <c r="D64" s="320"/>
      <c r="E64" s="321"/>
      <c r="F64" s="316"/>
      <c r="G64" s="322"/>
      <c r="H64" s="322"/>
      <c r="I64" s="316"/>
      <c r="J64" s="317"/>
    </row>
    <row r="65" spans="1:10" ht="15">
      <c r="A65" s="275"/>
      <c r="B65" s="318"/>
      <c r="C65" s="319"/>
      <c r="D65" s="320"/>
      <c r="E65" s="321"/>
      <c r="F65" s="316"/>
      <c r="G65" s="322"/>
      <c r="H65" s="322"/>
      <c r="I65" s="316"/>
      <c r="J65" s="317"/>
    </row>
    <row r="66" spans="1:10" ht="15">
      <c r="A66" s="275"/>
      <c r="B66" s="318"/>
      <c r="C66" s="319"/>
      <c r="D66" s="320"/>
      <c r="E66" s="321"/>
      <c r="F66" s="316"/>
      <c r="G66" s="322"/>
      <c r="H66" s="322"/>
      <c r="I66" s="316"/>
      <c r="J66" s="317"/>
    </row>
    <row r="67" spans="1:10" ht="15">
      <c r="A67" s="275"/>
      <c r="B67" s="318"/>
      <c r="C67" s="319"/>
      <c r="D67" s="320"/>
      <c r="E67" s="321"/>
      <c r="F67" s="316"/>
      <c r="G67" s="322"/>
      <c r="H67" s="322"/>
      <c r="I67" s="316"/>
      <c r="J67" s="317"/>
    </row>
    <row r="68" spans="1:10" ht="15">
      <c r="A68" s="275"/>
      <c r="B68" s="318"/>
      <c r="C68" s="319"/>
      <c r="D68" s="320"/>
      <c r="E68" s="321"/>
      <c r="F68" s="316"/>
      <c r="G68" s="322"/>
      <c r="H68" s="322"/>
      <c r="I68" s="316"/>
      <c r="J68" s="317"/>
    </row>
    <row r="69" spans="1:10" ht="15">
      <c r="A69" s="275"/>
      <c r="B69" s="318"/>
      <c r="C69" s="319"/>
      <c r="D69" s="320"/>
      <c r="E69" s="321"/>
      <c r="F69" s="316"/>
      <c r="G69" s="323"/>
      <c r="H69" s="316"/>
      <c r="I69" s="316"/>
      <c r="J69" s="317"/>
    </row>
    <row r="70" spans="1:10" ht="15">
      <c r="A70" s="275"/>
      <c r="B70" s="318"/>
      <c r="C70" s="319"/>
      <c r="D70" s="320"/>
      <c r="E70" s="321"/>
      <c r="F70" s="323"/>
      <c r="G70" s="316"/>
      <c r="H70" s="322"/>
      <c r="I70" s="316"/>
      <c r="J70" s="317"/>
    </row>
    <row r="71" spans="1:10" ht="15">
      <c r="A71" s="275"/>
      <c r="B71" s="276"/>
      <c r="C71" s="325"/>
      <c r="D71" s="320"/>
      <c r="E71" s="326"/>
      <c r="F71" s="323"/>
      <c r="G71" s="327"/>
      <c r="H71" s="322"/>
      <c r="I71" s="316"/>
      <c r="J71" s="317"/>
    </row>
    <row r="72" spans="1:10" ht="15.75" thickBot="1">
      <c r="A72" s="282" t="s">
        <v>246</v>
      </c>
      <c r="B72" s="283"/>
      <c r="C72" s="328"/>
      <c r="D72" s="329"/>
      <c r="E72" s="343">
        <f>SUM(E58:E71)</f>
        <v>0</v>
      </c>
      <c r="F72" s="343">
        <f>SUM(F58:F71)</f>
        <v>0</v>
      </c>
      <c r="G72" s="343">
        <f>SUM(G58:G71)</f>
        <v>0</v>
      </c>
      <c r="H72" s="343">
        <f>SUM(H58:H71)</f>
        <v>0</v>
      </c>
      <c r="I72" s="343">
        <f>SUM(I58:I71)</f>
        <v>0</v>
      </c>
      <c r="J72" s="331"/>
    </row>
    <row r="73" spans="1:10">
      <c r="A73" s="289"/>
      <c r="B73" s="289"/>
      <c r="C73" s="289"/>
      <c r="D73" s="289"/>
      <c r="F73" s="290"/>
      <c r="G73" s="290"/>
      <c r="H73" s="290"/>
      <c r="I73" s="290"/>
      <c r="J73" s="289"/>
    </row>
    <row r="74" spans="1:10">
      <c r="A74" s="289"/>
      <c r="B74" s="289"/>
      <c r="C74" s="289"/>
      <c r="D74" s="289"/>
      <c r="E74" s="289"/>
      <c r="F74" s="290"/>
      <c r="G74" s="290"/>
      <c r="H74" s="290"/>
      <c r="I74" s="290"/>
      <c r="J74" s="289"/>
    </row>
    <row r="75" spans="1:10" ht="14.25">
      <c r="A75" s="289"/>
      <c r="B75" s="289"/>
      <c r="C75" s="289"/>
      <c r="D75" s="289"/>
      <c r="E75" s="289"/>
      <c r="F75" s="290"/>
      <c r="G75" s="332" t="s">
        <v>77</v>
      </c>
      <c r="H75" s="290"/>
      <c r="I75" s="290"/>
      <c r="J75" s="289"/>
    </row>
    <row r="76" spans="1:10" ht="14.25">
      <c r="A76" s="289"/>
      <c r="B76" s="289"/>
      <c r="C76" s="289"/>
      <c r="D76" s="289"/>
      <c r="E76" s="289"/>
      <c r="F76" s="290"/>
      <c r="G76" s="333"/>
      <c r="H76" s="290"/>
      <c r="I76" s="290"/>
      <c r="J76" s="289"/>
    </row>
    <row r="77" spans="1:10" ht="14.25">
      <c r="A77" s="289"/>
      <c r="B77" s="289"/>
      <c r="C77" s="289"/>
      <c r="D77" s="289"/>
      <c r="E77" s="289"/>
      <c r="F77" s="290"/>
      <c r="G77" s="334"/>
      <c r="H77" s="290"/>
      <c r="I77" s="290"/>
      <c r="J77" s="289"/>
    </row>
    <row r="78" spans="1:10" ht="14.25">
      <c r="A78" s="289"/>
      <c r="B78" s="289"/>
      <c r="C78" s="289"/>
      <c r="D78" s="289"/>
      <c r="E78" s="289"/>
      <c r="F78" s="290"/>
      <c r="G78" s="332" t="s">
        <v>78</v>
      </c>
      <c r="H78" s="290"/>
      <c r="I78" s="290"/>
      <c r="J78" s="289"/>
    </row>
    <row r="79" spans="1:10" ht="15">
      <c r="A79" s="289"/>
      <c r="B79" s="289"/>
      <c r="C79" s="289"/>
      <c r="D79" s="289"/>
      <c r="E79" s="289"/>
      <c r="F79" s="290"/>
      <c r="G79" s="335" t="s">
        <v>79</v>
      </c>
      <c r="H79" s="290"/>
      <c r="I79" s="290"/>
      <c r="J79" s="289"/>
    </row>
    <row r="80" spans="1:10">
      <c r="A80" s="344"/>
      <c r="F80" s="8"/>
      <c r="G80" s="8"/>
      <c r="H80" s="8"/>
      <c r="I80" s="8"/>
    </row>
    <row r="81" spans="1:9">
      <c r="A81" s="344"/>
      <c r="F81" s="8"/>
      <c r="G81" s="8"/>
      <c r="H81" s="8"/>
      <c r="I81" s="8"/>
    </row>
  </sheetData>
  <mergeCells count="15">
    <mergeCell ref="A23:J23"/>
    <mergeCell ref="A50:J50"/>
    <mergeCell ref="A51:J51"/>
    <mergeCell ref="A54:B56"/>
    <mergeCell ref="F54:I54"/>
    <mergeCell ref="A26:B28"/>
    <mergeCell ref="F26:I26"/>
    <mergeCell ref="A48:J48"/>
    <mergeCell ref="A49:J49"/>
    <mergeCell ref="B1:J1"/>
    <mergeCell ref="B3:J3"/>
    <mergeCell ref="B2:J2"/>
    <mergeCell ref="B4:J4"/>
    <mergeCell ref="A7:B9"/>
    <mergeCell ref="F7:I7"/>
  </mergeCells>
  <phoneticPr fontId="11" type="noConversion"/>
  <pageMargins left="0.56000000000000005" right="0.2" top="1" bottom="1.25" header="0.5" footer="0.36"/>
  <pageSetup paperSize="258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11" sqref="D11"/>
    </sheetView>
  </sheetViews>
  <sheetFormatPr defaultRowHeight="12.75"/>
  <cols>
    <col min="1" max="1" width="3.5703125" customWidth="1"/>
    <col min="2" max="2" width="31.42578125" customWidth="1"/>
    <col min="3" max="3" width="12" customWidth="1"/>
    <col min="4" max="4" width="11.28515625" customWidth="1"/>
    <col min="5" max="5" width="7.140625" customWidth="1"/>
    <col min="6" max="7" width="7.42578125" customWidth="1"/>
    <col min="8" max="8" width="13.28515625" customWidth="1"/>
    <col min="10" max="10" width="13.5703125" bestFit="1" customWidth="1"/>
  </cols>
  <sheetData>
    <row r="1" spans="1:9" ht="18.75">
      <c r="B1" s="695" t="s">
        <v>7</v>
      </c>
      <c r="C1" s="695"/>
      <c r="D1" s="695"/>
      <c r="E1" s="695"/>
      <c r="F1" s="695"/>
      <c r="G1" s="695"/>
      <c r="H1" s="695"/>
      <c r="I1" s="695"/>
    </row>
    <row r="2" spans="1:9" ht="18.75">
      <c r="B2" s="695" t="s">
        <v>943</v>
      </c>
      <c r="C2" s="695"/>
      <c r="D2" s="695"/>
      <c r="E2" s="695"/>
      <c r="F2" s="695"/>
      <c r="G2" s="695"/>
      <c r="H2" s="695"/>
      <c r="I2" s="695"/>
    </row>
    <row r="3" spans="1:9" ht="18.75">
      <c r="B3" s="695" t="s">
        <v>84</v>
      </c>
      <c r="C3" s="695"/>
      <c r="D3" s="695"/>
      <c r="E3" s="695"/>
      <c r="F3" s="695"/>
      <c r="G3" s="695"/>
      <c r="H3" s="695"/>
      <c r="I3" s="695"/>
    </row>
    <row r="4" spans="1:9" ht="14.25">
      <c r="B4" s="708" t="str">
        <f>+TB!A4</f>
        <v>As of September 30, 2012</v>
      </c>
      <c r="C4" s="708"/>
      <c r="D4" s="708"/>
      <c r="E4" s="708"/>
      <c r="F4" s="708"/>
      <c r="G4" s="708"/>
      <c r="H4" s="708"/>
      <c r="I4" s="708"/>
    </row>
    <row r="5" spans="1:9">
      <c r="A5" s="240"/>
      <c r="B5" s="241"/>
      <c r="C5" s="241"/>
      <c r="D5" s="241"/>
      <c r="E5" s="242"/>
      <c r="F5" s="242"/>
      <c r="G5" s="242"/>
      <c r="H5" s="242"/>
      <c r="I5" s="241"/>
    </row>
    <row r="6" spans="1:9" ht="16.5" thickBot="1">
      <c r="A6" s="243" t="s">
        <v>76</v>
      </c>
      <c r="B6" s="244"/>
      <c r="C6" s="244"/>
      <c r="D6" s="244"/>
      <c r="E6" s="245"/>
      <c r="F6" s="246"/>
      <c r="G6" s="245"/>
      <c r="H6" s="245"/>
      <c r="I6" s="244"/>
    </row>
    <row r="7" spans="1:9">
      <c r="A7" s="709" t="s">
        <v>944</v>
      </c>
      <c r="B7" s="710"/>
      <c r="C7" s="720" t="s">
        <v>942</v>
      </c>
      <c r="D7" s="247"/>
      <c r="E7" s="715" t="s">
        <v>408</v>
      </c>
      <c r="F7" s="716"/>
      <c r="G7" s="716"/>
      <c r="H7" s="716"/>
      <c r="I7" s="250"/>
    </row>
    <row r="8" spans="1:9">
      <c r="A8" s="711"/>
      <c r="B8" s="712"/>
      <c r="C8" s="721"/>
      <c r="D8" s="252" t="s">
        <v>173</v>
      </c>
      <c r="E8" s="254" t="s">
        <v>412</v>
      </c>
      <c r="F8" s="254" t="s">
        <v>413</v>
      </c>
      <c r="G8" s="254" t="s">
        <v>414</v>
      </c>
      <c r="H8" s="255" t="s">
        <v>415</v>
      </c>
      <c r="I8" s="256" t="s">
        <v>109</v>
      </c>
    </row>
    <row r="9" spans="1:9" ht="13.5">
      <c r="A9" s="713"/>
      <c r="B9" s="714"/>
      <c r="C9" s="722"/>
      <c r="D9" s="529"/>
      <c r="E9" s="258"/>
      <c r="F9" s="258"/>
      <c r="G9" s="258"/>
      <c r="H9" s="259"/>
      <c r="I9" s="260"/>
    </row>
    <row r="10" spans="1:9" ht="15">
      <c r="A10" s="261"/>
      <c r="B10" s="262"/>
      <c r="C10" s="264"/>
      <c r="D10" s="264"/>
      <c r="E10" s="266"/>
      <c r="F10" s="254"/>
      <c r="G10" s="267"/>
      <c r="H10" s="268"/>
      <c r="I10" s="269"/>
    </row>
    <row r="11" spans="1:9" ht="15">
      <c r="A11" s="275">
        <v>1</v>
      </c>
      <c r="B11" s="530" t="s">
        <v>200</v>
      </c>
      <c r="C11" s="533">
        <v>35125</v>
      </c>
      <c r="D11" s="525">
        <f>SUM(E11:H11)</f>
        <v>6827.25</v>
      </c>
      <c r="E11" s="532"/>
      <c r="F11" s="526"/>
      <c r="G11" s="527"/>
      <c r="H11" s="527">
        <v>6827.25</v>
      </c>
      <c r="I11" s="528"/>
    </row>
    <row r="12" spans="1:9" ht="15">
      <c r="A12" s="275">
        <v>2</v>
      </c>
      <c r="B12" s="530" t="s">
        <v>209</v>
      </c>
      <c r="C12" s="533">
        <v>35521</v>
      </c>
      <c r="D12" s="525">
        <f t="shared" ref="D12:D32" si="0">SUM(E12:H12)</f>
        <v>6723.5</v>
      </c>
      <c r="E12" s="532"/>
      <c r="F12" s="526"/>
      <c r="G12" s="527"/>
      <c r="H12" s="527">
        <v>6723.5</v>
      </c>
      <c r="I12" s="528"/>
    </row>
    <row r="13" spans="1:9" ht="15">
      <c r="A13" s="275">
        <v>3</v>
      </c>
      <c r="B13" s="530" t="s">
        <v>203</v>
      </c>
      <c r="C13" s="533">
        <v>35521</v>
      </c>
      <c r="D13" s="525">
        <f t="shared" si="0"/>
        <v>7347.94</v>
      </c>
      <c r="E13" s="532"/>
      <c r="F13" s="526"/>
      <c r="G13" s="527"/>
      <c r="H13" s="527">
        <v>7347.94</v>
      </c>
      <c r="I13" s="528"/>
    </row>
    <row r="14" spans="1:9" ht="15">
      <c r="A14" s="275">
        <v>4</v>
      </c>
      <c r="B14" s="530" t="s">
        <v>189</v>
      </c>
      <c r="C14" s="531">
        <v>1991</v>
      </c>
      <c r="D14" s="525">
        <f t="shared" si="0"/>
        <v>56.22</v>
      </c>
      <c r="E14" s="532"/>
      <c r="F14" s="526"/>
      <c r="G14" s="527"/>
      <c r="H14" s="527">
        <v>56.22</v>
      </c>
      <c r="I14" s="528"/>
    </row>
    <row r="15" spans="1:9" ht="15">
      <c r="A15" s="275">
        <v>5</v>
      </c>
      <c r="B15" s="530" t="s">
        <v>197</v>
      </c>
      <c r="C15" s="533">
        <v>35521</v>
      </c>
      <c r="D15" s="525">
        <f t="shared" si="0"/>
        <v>5227</v>
      </c>
      <c r="E15" s="532"/>
      <c r="F15" s="526"/>
      <c r="G15" s="527"/>
      <c r="H15" s="527">
        <v>5227</v>
      </c>
      <c r="I15" s="528"/>
    </row>
    <row r="16" spans="1:9" ht="15">
      <c r="A16" s="275">
        <v>6</v>
      </c>
      <c r="B16" s="530" t="s">
        <v>198</v>
      </c>
      <c r="C16" s="533">
        <v>34213</v>
      </c>
      <c r="D16" s="525">
        <f t="shared" si="0"/>
        <v>105</v>
      </c>
      <c r="E16" s="532"/>
      <c r="F16" s="526"/>
      <c r="G16" s="527"/>
      <c r="H16" s="527">
        <v>105</v>
      </c>
      <c r="I16" s="528"/>
    </row>
    <row r="17" spans="1:9" ht="15">
      <c r="A17" s="275">
        <v>7</v>
      </c>
      <c r="B17" s="530" t="s">
        <v>206</v>
      </c>
      <c r="C17" s="533">
        <v>35125</v>
      </c>
      <c r="D17" s="525">
        <f t="shared" si="0"/>
        <v>6957.25</v>
      </c>
      <c r="E17" s="532"/>
      <c r="F17" s="526"/>
      <c r="G17" s="527"/>
      <c r="H17" s="527">
        <v>6957.25</v>
      </c>
      <c r="I17" s="528"/>
    </row>
    <row r="18" spans="1:9" ht="15">
      <c r="A18" s="275">
        <v>8</v>
      </c>
      <c r="B18" s="530" t="s">
        <v>199</v>
      </c>
      <c r="C18" s="533">
        <v>35521</v>
      </c>
      <c r="D18" s="525">
        <f t="shared" si="0"/>
        <v>5227</v>
      </c>
      <c r="E18" s="532"/>
      <c r="F18" s="526"/>
      <c r="G18" s="527"/>
      <c r="H18" s="527">
        <v>5227</v>
      </c>
      <c r="I18" s="528"/>
    </row>
    <row r="19" spans="1:9" ht="15">
      <c r="A19" s="275">
        <v>9</v>
      </c>
      <c r="B19" s="530" t="s">
        <v>201</v>
      </c>
      <c r="C19" s="533">
        <v>35521</v>
      </c>
      <c r="D19" s="525">
        <f t="shared" si="0"/>
        <v>8069.5</v>
      </c>
      <c r="E19" s="532"/>
      <c r="F19" s="526"/>
      <c r="G19" s="527"/>
      <c r="H19" s="527">
        <v>8069.5</v>
      </c>
      <c r="I19" s="528"/>
    </row>
    <row r="20" spans="1:9" ht="15">
      <c r="A20" s="275">
        <v>10</v>
      </c>
      <c r="B20" s="530" t="s">
        <v>207</v>
      </c>
      <c r="C20" s="533">
        <v>35521</v>
      </c>
      <c r="D20" s="525">
        <f t="shared" si="0"/>
        <v>6763.5</v>
      </c>
      <c r="E20" s="532"/>
      <c r="F20" s="526"/>
      <c r="G20" s="527"/>
      <c r="H20" s="527">
        <v>6763.5</v>
      </c>
      <c r="I20" s="528"/>
    </row>
    <row r="21" spans="1:9" ht="15">
      <c r="A21" s="275">
        <v>11</v>
      </c>
      <c r="B21" s="530" t="s">
        <v>191</v>
      </c>
      <c r="C21" s="533">
        <v>34213</v>
      </c>
      <c r="D21" s="525">
        <f t="shared" si="0"/>
        <v>67.5</v>
      </c>
      <c r="E21" s="532"/>
      <c r="F21" s="526"/>
      <c r="G21" s="527"/>
      <c r="H21" s="527">
        <v>67.5</v>
      </c>
      <c r="I21" s="528"/>
    </row>
    <row r="22" spans="1:9" ht="15">
      <c r="A22" s="275">
        <v>12</v>
      </c>
      <c r="B22" s="530" t="s">
        <v>194</v>
      </c>
      <c r="C22" s="533">
        <v>35521</v>
      </c>
      <c r="D22" s="525">
        <f t="shared" si="0"/>
        <v>8069.5</v>
      </c>
      <c r="E22" s="532"/>
      <c r="F22" s="526"/>
      <c r="G22" s="527"/>
      <c r="H22" s="527">
        <v>8069.5</v>
      </c>
      <c r="I22" s="528"/>
    </row>
    <row r="23" spans="1:9" ht="15">
      <c r="A23" s="275">
        <v>13</v>
      </c>
      <c r="B23" s="530" t="s">
        <v>190</v>
      </c>
      <c r="C23" s="533">
        <v>35521</v>
      </c>
      <c r="D23" s="525">
        <f t="shared" si="0"/>
        <v>575</v>
      </c>
      <c r="E23" s="532"/>
      <c r="F23" s="526"/>
      <c r="G23" s="527"/>
      <c r="H23" s="527">
        <v>575</v>
      </c>
      <c r="I23" s="528"/>
    </row>
    <row r="24" spans="1:9" ht="15">
      <c r="A24" s="275">
        <v>14</v>
      </c>
      <c r="B24" s="530" t="s">
        <v>202</v>
      </c>
      <c r="C24" s="533">
        <v>35521</v>
      </c>
      <c r="D24" s="525">
        <f t="shared" si="0"/>
        <v>575</v>
      </c>
      <c r="E24" s="532"/>
      <c r="F24" s="526"/>
      <c r="G24" s="527"/>
      <c r="H24" s="527">
        <v>575</v>
      </c>
      <c r="I24" s="528"/>
    </row>
    <row r="25" spans="1:9" ht="15">
      <c r="A25" s="275">
        <v>15</v>
      </c>
      <c r="B25" s="530" t="s">
        <v>204</v>
      </c>
      <c r="C25" s="533">
        <v>35521</v>
      </c>
      <c r="D25" s="525">
        <f t="shared" si="0"/>
        <v>154</v>
      </c>
      <c r="E25" s="532"/>
      <c r="F25" s="526"/>
      <c r="G25" s="527"/>
      <c r="H25" s="527">
        <v>154</v>
      </c>
      <c r="I25" s="528"/>
    </row>
    <row r="26" spans="1:9" ht="15">
      <c r="A26" s="275">
        <v>15</v>
      </c>
      <c r="B26" s="530" t="s">
        <v>210</v>
      </c>
      <c r="C26" s="533">
        <v>35521</v>
      </c>
      <c r="D26" s="525">
        <f t="shared" si="0"/>
        <v>5227</v>
      </c>
      <c r="E26" s="532"/>
      <c r="F26" s="526"/>
      <c r="G26" s="527"/>
      <c r="H26" s="527">
        <v>5227</v>
      </c>
      <c r="I26" s="528"/>
    </row>
    <row r="27" spans="1:9" ht="15">
      <c r="A27" s="275">
        <v>15</v>
      </c>
      <c r="B27" s="530" t="s">
        <v>192</v>
      </c>
      <c r="C27" s="533">
        <v>35125</v>
      </c>
      <c r="D27" s="525">
        <f t="shared" si="0"/>
        <v>6827.25</v>
      </c>
      <c r="E27" s="532"/>
      <c r="F27" s="526"/>
      <c r="G27" s="527"/>
      <c r="H27" s="527">
        <v>6827.25</v>
      </c>
      <c r="I27" s="528"/>
    </row>
    <row r="28" spans="1:9" ht="15">
      <c r="A28" s="275">
        <v>15</v>
      </c>
      <c r="B28" s="530" t="s">
        <v>208</v>
      </c>
      <c r="C28" s="533">
        <v>34213</v>
      </c>
      <c r="D28" s="525">
        <f t="shared" si="0"/>
        <v>154</v>
      </c>
      <c r="E28" s="532"/>
      <c r="F28" s="526"/>
      <c r="G28" s="527"/>
      <c r="H28" s="527">
        <v>154</v>
      </c>
      <c r="I28" s="528"/>
    </row>
    <row r="29" spans="1:9" ht="15">
      <c r="A29" s="275">
        <v>15</v>
      </c>
      <c r="B29" s="530" t="s">
        <v>193</v>
      </c>
      <c r="C29" s="533">
        <v>34213</v>
      </c>
      <c r="D29" s="525">
        <f t="shared" si="0"/>
        <v>67.5</v>
      </c>
      <c r="E29" s="532"/>
      <c r="F29" s="526"/>
      <c r="G29" s="527"/>
      <c r="H29" s="527">
        <v>67.5</v>
      </c>
      <c r="I29" s="528"/>
    </row>
    <row r="30" spans="1:9" ht="15">
      <c r="A30" s="275">
        <v>15</v>
      </c>
      <c r="B30" s="530" t="s">
        <v>205</v>
      </c>
      <c r="C30" s="533">
        <v>35125</v>
      </c>
      <c r="D30" s="525">
        <f t="shared" si="0"/>
        <v>1092.8</v>
      </c>
      <c r="E30" s="532"/>
      <c r="F30" s="526"/>
      <c r="G30" s="527"/>
      <c r="H30" s="527">
        <v>1092.8</v>
      </c>
      <c r="I30" s="528"/>
    </row>
    <row r="31" spans="1:9" ht="15">
      <c r="A31" s="275">
        <v>15</v>
      </c>
      <c r="B31" s="530" t="s">
        <v>196</v>
      </c>
      <c r="C31" s="533">
        <v>35521</v>
      </c>
      <c r="D31" s="525">
        <f t="shared" si="0"/>
        <v>575</v>
      </c>
      <c r="E31" s="532"/>
      <c r="F31" s="526"/>
      <c r="G31" s="527"/>
      <c r="H31" s="527">
        <v>575</v>
      </c>
      <c r="I31" s="528"/>
    </row>
    <row r="32" spans="1:9" ht="15">
      <c r="A32" s="275">
        <v>15</v>
      </c>
      <c r="B32" s="530" t="s">
        <v>195</v>
      </c>
      <c r="C32" s="533">
        <v>35521</v>
      </c>
      <c r="D32" s="525">
        <f t="shared" si="0"/>
        <v>5327.5</v>
      </c>
      <c r="E32" s="532"/>
      <c r="F32" s="526"/>
      <c r="G32" s="527"/>
      <c r="H32" s="527">
        <v>5327.5</v>
      </c>
      <c r="I32" s="528"/>
    </row>
    <row r="33" spans="1:10" ht="15">
      <c r="A33" s="275"/>
      <c r="B33" s="276"/>
      <c r="C33" s="270"/>
      <c r="D33" s="535"/>
      <c r="E33" s="278"/>
      <c r="F33" s="281"/>
      <c r="G33" s="273"/>
      <c r="H33" s="281"/>
      <c r="I33" s="274"/>
    </row>
    <row r="34" spans="1:10" ht="15.75" thickBot="1">
      <c r="A34" s="282" t="s">
        <v>246</v>
      </c>
      <c r="B34" s="283"/>
      <c r="C34" s="285"/>
      <c r="D34" s="534">
        <f>SUM(D11:D33)</f>
        <v>82016.210000000006</v>
      </c>
      <c r="E34" s="287">
        <f>SUM(E33:E33)</f>
        <v>0</v>
      </c>
      <c r="F34" s="287">
        <f>SUM(F33:F33)</f>
        <v>0</v>
      </c>
      <c r="G34" s="287">
        <f>SUM(G33:G33)</f>
        <v>0</v>
      </c>
      <c r="H34" s="287">
        <f>SUM(H11:H33)</f>
        <v>82016.210000000006</v>
      </c>
      <c r="I34" s="288"/>
      <c r="J34" s="19">
        <f>+D34-TB!C33</f>
        <v>0</v>
      </c>
    </row>
  </sheetData>
  <mergeCells count="7">
    <mergeCell ref="B1:I1"/>
    <mergeCell ref="B2:I2"/>
    <mergeCell ref="B3:I3"/>
    <mergeCell ref="B4:I4"/>
    <mergeCell ref="A7:B9"/>
    <mergeCell ref="E7:H7"/>
    <mergeCell ref="C7:C9"/>
  </mergeCells>
  <pageMargins left="0.38" right="0.19" top="0.75" bottom="0.75" header="0.3" footer="0.3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7"/>
  <sheetViews>
    <sheetView topLeftCell="A211" zoomScaleNormal="100" workbookViewId="0">
      <selection activeCell="F13" sqref="F13"/>
    </sheetView>
  </sheetViews>
  <sheetFormatPr defaultRowHeight="12.75"/>
  <cols>
    <col min="1" max="1" width="2" customWidth="1"/>
    <col min="2" max="2" width="1.28515625" style="7" customWidth="1"/>
    <col min="3" max="4" width="1.5703125" customWidth="1"/>
    <col min="5" max="5" width="62.140625" customWidth="1"/>
    <col min="6" max="6" width="15" style="8" bestFit="1" customWidth="1"/>
    <col min="7" max="7" width="15" style="8" hidden="1" customWidth="1"/>
    <col min="8" max="8" width="15" style="8" bestFit="1" customWidth="1"/>
    <col min="10" max="10" width="18.42578125" customWidth="1"/>
    <col min="11" max="11" width="15" bestFit="1" customWidth="1"/>
  </cols>
  <sheetData>
    <row r="1" spans="1:11" ht="15.75">
      <c r="A1" s="724" t="s">
        <v>7</v>
      </c>
      <c r="B1" s="724"/>
      <c r="C1" s="724"/>
      <c r="D1" s="724"/>
      <c r="E1" s="724"/>
      <c r="F1" s="724"/>
      <c r="G1" s="724"/>
      <c r="H1" s="356"/>
    </row>
    <row r="2" spans="1:11" s="5" customFormat="1" ht="15.75">
      <c r="A2" s="724" t="s">
        <v>219</v>
      </c>
      <c r="B2" s="724"/>
      <c r="C2" s="724"/>
      <c r="D2" s="724"/>
      <c r="E2" s="724"/>
      <c r="F2" s="724"/>
      <c r="G2" s="724"/>
      <c r="H2" s="356"/>
    </row>
    <row r="3" spans="1:11" ht="15.75">
      <c r="A3" s="724" t="s">
        <v>84</v>
      </c>
      <c r="B3" s="724"/>
      <c r="C3" s="724"/>
      <c r="D3" s="724"/>
      <c r="E3" s="724"/>
      <c r="F3" s="724"/>
      <c r="G3" s="724"/>
      <c r="H3" s="356"/>
    </row>
    <row r="4" spans="1:11">
      <c r="A4" s="723" t="str">
        <f>+TB!A4:E4</f>
        <v>As of September 30, 2012</v>
      </c>
      <c r="B4" s="723"/>
      <c r="C4" s="723"/>
      <c r="D4" s="723"/>
      <c r="E4" s="723"/>
      <c r="F4" s="723"/>
      <c r="G4" s="723"/>
      <c r="H4" s="357"/>
      <c r="I4" s="189"/>
      <c r="J4" s="189"/>
    </row>
    <row r="5" spans="1:11" hidden="1">
      <c r="A5" s="723" t="s">
        <v>1097</v>
      </c>
      <c r="B5" s="723"/>
      <c r="C5" s="723"/>
      <c r="D5" s="723"/>
      <c r="E5" s="723"/>
      <c r="F5" s="723"/>
      <c r="G5" s="723"/>
      <c r="H5" s="6"/>
    </row>
    <row r="6" spans="1:11">
      <c r="A6" s="439"/>
      <c r="B6" s="439"/>
      <c r="C6" s="439"/>
      <c r="D6" s="439"/>
      <c r="E6" s="439"/>
      <c r="F6" s="439"/>
      <c r="G6" s="439"/>
      <c r="H6" s="443"/>
      <c r="I6" s="439"/>
      <c r="J6" s="189"/>
      <c r="K6" s="189"/>
    </row>
    <row r="7" spans="1:11" s="441" customFormat="1">
      <c r="A7" s="444"/>
      <c r="B7" s="192"/>
      <c r="C7" s="192"/>
      <c r="D7" s="192"/>
      <c r="E7" s="445"/>
      <c r="F7" s="446">
        <v>2012</v>
      </c>
      <c r="G7" s="446">
        <v>2011</v>
      </c>
      <c r="H7" s="440"/>
      <c r="I7" s="440"/>
    </row>
    <row r="8" spans="1:11">
      <c r="A8" s="447" t="s">
        <v>220</v>
      </c>
      <c r="B8" s="448"/>
      <c r="C8" s="448"/>
      <c r="D8" s="14"/>
      <c r="E8" s="449"/>
      <c r="F8" s="450"/>
      <c r="G8" s="450"/>
      <c r="H8" s="154"/>
      <c r="I8" s="8"/>
    </row>
    <row r="9" spans="1:11">
      <c r="A9" s="198" t="s">
        <v>221</v>
      </c>
      <c r="B9" s="142"/>
      <c r="C9" s="13"/>
      <c r="D9" s="13"/>
      <c r="E9" s="13"/>
      <c r="F9" s="468"/>
      <c r="G9" s="451"/>
    </row>
    <row r="10" spans="1:11">
      <c r="A10" s="198"/>
      <c r="B10" s="142"/>
      <c r="C10" s="13"/>
      <c r="D10" s="13"/>
      <c r="E10" s="13"/>
      <c r="F10" s="425"/>
      <c r="G10" s="451"/>
    </row>
    <row r="11" spans="1:11">
      <c r="A11" s="452"/>
      <c r="B11" s="453" t="s">
        <v>222</v>
      </c>
      <c r="C11" s="26"/>
      <c r="D11" s="26"/>
      <c r="E11" s="26"/>
      <c r="F11" s="469"/>
      <c r="G11" s="454"/>
      <c r="H11" s="136"/>
    </row>
    <row r="12" spans="1:11">
      <c r="A12" s="452"/>
      <c r="B12" s="453"/>
      <c r="C12" s="105" t="s">
        <v>806</v>
      </c>
      <c r="D12" s="105"/>
      <c r="E12" s="26"/>
      <c r="F12" s="469"/>
      <c r="G12" s="454"/>
      <c r="H12" s="136"/>
    </row>
    <row r="13" spans="1:11" s="13" customFormat="1">
      <c r="A13" s="455"/>
      <c r="B13" s="138"/>
      <c r="D13" s="139" t="s">
        <v>19</v>
      </c>
      <c r="F13" s="470">
        <f>+TB!C9</f>
        <v>1232016.4600000083</v>
      </c>
      <c r="G13" s="454">
        <v>2443487.0099999905</v>
      </c>
      <c r="H13" s="140"/>
    </row>
    <row r="14" spans="1:11" s="13" customFormat="1" hidden="1">
      <c r="A14" s="455"/>
      <c r="B14" s="138"/>
      <c r="D14" s="139" t="s">
        <v>807</v>
      </c>
      <c r="F14" s="470">
        <f>+TB!C10</f>
        <v>0</v>
      </c>
      <c r="G14" s="454">
        <v>0</v>
      </c>
      <c r="H14" s="140"/>
    </row>
    <row r="15" spans="1:11" s="13" customFormat="1" hidden="1">
      <c r="A15" s="455"/>
      <c r="B15" s="138"/>
      <c r="D15" s="139" t="s">
        <v>517</v>
      </c>
      <c r="F15" s="470">
        <f>+TB!C11</f>
        <v>0</v>
      </c>
      <c r="G15" s="454">
        <v>0</v>
      </c>
      <c r="H15" s="140"/>
    </row>
    <row r="16" spans="1:11" s="13" customFormat="1" hidden="1">
      <c r="A16" s="455"/>
      <c r="B16" s="138"/>
      <c r="D16" s="139" t="s">
        <v>334</v>
      </c>
      <c r="F16" s="470">
        <f>+TB!C12</f>
        <v>0</v>
      </c>
      <c r="G16" s="454">
        <v>0</v>
      </c>
      <c r="H16" s="140"/>
    </row>
    <row r="17" spans="1:8" s="13" customFormat="1">
      <c r="A17" s="455"/>
      <c r="B17" s="138"/>
      <c r="C17" s="438" t="s">
        <v>808</v>
      </c>
      <c r="D17" s="139"/>
      <c r="F17" s="470"/>
      <c r="G17" s="454"/>
      <c r="H17" s="140"/>
    </row>
    <row r="18" spans="1:8" s="13" customFormat="1">
      <c r="A18" s="455"/>
      <c r="B18" s="138"/>
      <c r="D18" s="139" t="s">
        <v>20</v>
      </c>
      <c r="F18" s="470">
        <f>+TB!C13</f>
        <v>47969180.159999967</v>
      </c>
      <c r="G18" s="454">
        <v>51634695.419999994</v>
      </c>
      <c r="H18" s="140"/>
    </row>
    <row r="19" spans="1:8" s="13" customFormat="1" hidden="1">
      <c r="A19" s="455"/>
      <c r="B19" s="138"/>
      <c r="D19" s="139" t="s">
        <v>518</v>
      </c>
      <c r="F19" s="470">
        <f>+TB!C14</f>
        <v>0</v>
      </c>
      <c r="G19" s="454">
        <v>0</v>
      </c>
      <c r="H19" s="140"/>
    </row>
    <row r="20" spans="1:8" s="13" customFormat="1">
      <c r="A20" s="455"/>
      <c r="B20" s="138"/>
      <c r="D20" s="139" t="s">
        <v>21</v>
      </c>
      <c r="F20" s="470">
        <f>+TB!C15</f>
        <v>89327436.490000024</v>
      </c>
      <c r="G20" s="574">
        <v>68356684.170000032</v>
      </c>
      <c r="H20" s="140"/>
    </row>
    <row r="21" spans="1:8" hidden="1">
      <c r="A21" s="455"/>
      <c r="B21" s="138"/>
      <c r="C21" s="438" t="s">
        <v>809</v>
      </c>
      <c r="D21" s="139"/>
      <c r="E21" s="137"/>
      <c r="F21" s="425"/>
      <c r="G21" s="454"/>
      <c r="H21"/>
    </row>
    <row r="22" spans="1:8" hidden="1">
      <c r="A22" s="455"/>
      <c r="B22" s="138"/>
      <c r="C22" s="138"/>
      <c r="D22" s="139" t="s">
        <v>519</v>
      </c>
      <c r="E22" s="137"/>
      <c r="F22" s="470">
        <f>+TB!C16</f>
        <v>0</v>
      </c>
      <c r="G22" s="454">
        <v>0</v>
      </c>
      <c r="H22"/>
    </row>
    <row r="23" spans="1:8" hidden="1">
      <c r="A23" s="455"/>
      <c r="B23" s="138"/>
      <c r="C23" s="138"/>
      <c r="D23" s="139" t="s">
        <v>520</v>
      </c>
      <c r="E23" s="137"/>
      <c r="F23" s="470">
        <f>+TB!C17</f>
        <v>0</v>
      </c>
      <c r="G23" s="454">
        <v>0</v>
      </c>
      <c r="H23"/>
    </row>
    <row r="24" spans="1:8" hidden="1">
      <c r="A24" s="455"/>
      <c r="B24" s="138"/>
      <c r="C24" s="138"/>
      <c r="D24" s="139" t="s">
        <v>521</v>
      </c>
      <c r="E24" s="137"/>
      <c r="F24" s="470">
        <f>+TB!C18</f>
        <v>0</v>
      </c>
      <c r="G24" s="454">
        <v>0</v>
      </c>
      <c r="H24"/>
    </row>
    <row r="25" spans="1:8" s="13" customFormat="1">
      <c r="A25" s="455"/>
      <c r="B25" s="138"/>
      <c r="C25" s="438" t="s">
        <v>810</v>
      </c>
      <c r="D25" s="139"/>
      <c r="E25" s="137"/>
      <c r="F25" s="471">
        <f>SUM(F13:F24)</f>
        <v>138528633.11000001</v>
      </c>
      <c r="G25" s="471">
        <f>SUM(G13:G24)</f>
        <v>122434866.60000002</v>
      </c>
      <c r="H25" s="140"/>
    </row>
    <row r="26" spans="1:8" s="13" customFormat="1">
      <c r="A26" s="455"/>
      <c r="B26" s="138" t="s">
        <v>223</v>
      </c>
      <c r="C26" s="139"/>
      <c r="D26" s="139"/>
      <c r="E26" s="137"/>
      <c r="F26" s="470"/>
      <c r="G26" s="454"/>
      <c r="H26" s="140"/>
    </row>
    <row r="27" spans="1:8" s="13" customFormat="1">
      <c r="A27" s="455"/>
      <c r="B27" s="138"/>
      <c r="C27" s="438" t="s">
        <v>811</v>
      </c>
      <c r="D27" s="137"/>
      <c r="E27" s="137"/>
      <c r="F27" s="470"/>
      <c r="G27" s="454"/>
      <c r="H27" s="140"/>
    </row>
    <row r="28" spans="1:8" s="13" customFormat="1" hidden="1">
      <c r="A28" s="455"/>
      <c r="B28" s="138"/>
      <c r="C28" s="142"/>
      <c r="D28" s="105" t="s">
        <v>522</v>
      </c>
      <c r="E28" s="137"/>
      <c r="F28" s="470">
        <f>+TB!C19</f>
        <v>0</v>
      </c>
      <c r="G28" s="454">
        <v>0</v>
      </c>
      <c r="H28" s="140"/>
    </row>
    <row r="29" spans="1:8" s="13" customFormat="1" hidden="1">
      <c r="A29" s="455"/>
      <c r="B29" s="138"/>
      <c r="C29" s="142"/>
      <c r="D29" s="105" t="s">
        <v>812</v>
      </c>
      <c r="E29" s="137"/>
      <c r="F29" s="470">
        <f>+TB!C20</f>
        <v>0</v>
      </c>
      <c r="G29" s="454">
        <v>0</v>
      </c>
      <c r="H29" s="140"/>
    </row>
    <row r="30" spans="1:8" s="13" customFormat="1">
      <c r="A30" s="455"/>
      <c r="B30" s="138"/>
      <c r="D30" s="139" t="s">
        <v>22</v>
      </c>
      <c r="E30" s="137"/>
      <c r="F30" s="470">
        <f>+TB!C21</f>
        <v>733.58</v>
      </c>
      <c r="G30" s="454">
        <v>733.58</v>
      </c>
      <c r="H30" s="140"/>
    </row>
    <row r="31" spans="1:8" s="13" customFormat="1" hidden="1">
      <c r="A31" s="455"/>
      <c r="B31" s="138"/>
      <c r="D31" s="105" t="s">
        <v>524</v>
      </c>
      <c r="E31" s="137"/>
      <c r="F31" s="470">
        <f>+TB!C22</f>
        <v>0</v>
      </c>
      <c r="G31" s="454">
        <v>0</v>
      </c>
      <c r="H31" s="140"/>
    </row>
    <row r="32" spans="1:8" s="13" customFormat="1" hidden="1">
      <c r="A32" s="455"/>
      <c r="B32" s="138"/>
      <c r="D32" s="139" t="s">
        <v>526</v>
      </c>
      <c r="E32" s="137"/>
      <c r="F32" s="470">
        <f>+TB!C23</f>
        <v>0</v>
      </c>
      <c r="G32" s="454">
        <v>0</v>
      </c>
      <c r="H32" s="140"/>
    </row>
    <row r="33" spans="1:8" s="13" customFormat="1" hidden="1">
      <c r="A33" s="455"/>
      <c r="B33" s="138"/>
      <c r="D33" s="139" t="s">
        <v>525</v>
      </c>
      <c r="E33" s="137"/>
      <c r="F33" s="470">
        <f>+TB!C24</f>
        <v>0</v>
      </c>
      <c r="G33" s="454">
        <v>0</v>
      </c>
      <c r="H33" s="140"/>
    </row>
    <row r="34" spans="1:8" s="13" customFormat="1" hidden="1">
      <c r="A34" s="455"/>
      <c r="B34" s="138"/>
      <c r="D34" s="139" t="s">
        <v>527</v>
      </c>
      <c r="E34" s="137"/>
      <c r="F34" s="470">
        <f>+TB!C25</f>
        <v>0</v>
      </c>
      <c r="G34" s="454">
        <v>0</v>
      </c>
      <c r="H34" s="140"/>
    </row>
    <row r="35" spans="1:8" s="13" customFormat="1">
      <c r="A35" s="455"/>
      <c r="D35" s="139" t="s">
        <v>167</v>
      </c>
      <c r="E35" s="137"/>
      <c r="F35" s="470">
        <f>+TB!C26</f>
        <v>11864007.119999968</v>
      </c>
      <c r="G35" s="454">
        <v>2766534.4599999785</v>
      </c>
      <c r="H35" s="140"/>
    </row>
    <row r="36" spans="1:8" s="13" customFormat="1" hidden="1">
      <c r="A36" s="455"/>
      <c r="D36" s="139" t="s">
        <v>528</v>
      </c>
      <c r="E36" s="137"/>
      <c r="F36" s="470">
        <f>+TB!C27</f>
        <v>0</v>
      </c>
      <c r="G36" s="454">
        <v>0</v>
      </c>
      <c r="H36" s="140"/>
    </row>
    <row r="37" spans="1:8">
      <c r="A37" s="455"/>
      <c r="B37" s="138"/>
      <c r="C37" s="438" t="s">
        <v>813</v>
      </c>
      <c r="D37" s="139"/>
      <c r="E37" s="137"/>
      <c r="F37" s="472"/>
      <c r="G37" s="456"/>
      <c r="H37"/>
    </row>
    <row r="38" spans="1:8" s="13" customFormat="1" ht="15">
      <c r="A38" s="455"/>
      <c r="D38" s="183" t="s">
        <v>274</v>
      </c>
      <c r="E38" s="137"/>
      <c r="F38" s="470">
        <f>+TB!C28</f>
        <v>21330.190000000002</v>
      </c>
      <c r="G38" s="454">
        <v>21330.190000000002</v>
      </c>
      <c r="H38" s="140"/>
    </row>
    <row r="39" spans="1:8" s="13" customFormat="1" ht="15" hidden="1">
      <c r="A39" s="455"/>
      <c r="D39" s="183" t="s">
        <v>514</v>
      </c>
      <c r="E39" s="137"/>
      <c r="F39" s="470">
        <f>+TB!C29</f>
        <v>0</v>
      </c>
      <c r="G39" s="454">
        <v>0</v>
      </c>
      <c r="H39" s="140"/>
    </row>
    <row r="40" spans="1:8" s="13" customFormat="1" hidden="1">
      <c r="A40" s="455"/>
      <c r="D40" s="139" t="s">
        <v>814</v>
      </c>
      <c r="E40" s="137"/>
      <c r="F40" s="470">
        <f>+TB!C30</f>
        <v>0</v>
      </c>
      <c r="G40" s="454">
        <v>0</v>
      </c>
      <c r="H40" s="140"/>
    </row>
    <row r="41" spans="1:8" s="13" customFormat="1" ht="15">
      <c r="A41" s="455"/>
      <c r="D41" s="183" t="s">
        <v>1096</v>
      </c>
      <c r="E41" s="137"/>
      <c r="F41" s="470">
        <f>+TB!C31</f>
        <v>2100000</v>
      </c>
      <c r="G41" s="454">
        <v>2100000</v>
      </c>
      <c r="H41" s="140"/>
    </row>
    <row r="42" spans="1:8">
      <c r="A42" s="455"/>
      <c r="B42" s="138"/>
      <c r="C42" s="438" t="s">
        <v>815</v>
      </c>
      <c r="D42" s="139"/>
      <c r="E42" s="137"/>
      <c r="F42" s="472"/>
      <c r="G42" s="456"/>
      <c r="H42"/>
    </row>
    <row r="43" spans="1:8" s="13" customFormat="1">
      <c r="A43" s="455"/>
      <c r="B43" s="138"/>
      <c r="D43" s="139" t="s">
        <v>23</v>
      </c>
      <c r="E43" s="137"/>
      <c r="F43" s="470">
        <f>+TB!C32</f>
        <v>20841.53</v>
      </c>
      <c r="G43" s="454">
        <v>3099.8699999935925</v>
      </c>
      <c r="H43" s="140"/>
    </row>
    <row r="44" spans="1:8" s="13" customFormat="1">
      <c r="A44" s="455"/>
      <c r="B44" s="138"/>
      <c r="C44" s="438" t="s">
        <v>80</v>
      </c>
      <c r="D44" s="139"/>
      <c r="E44" s="137"/>
      <c r="F44" s="470"/>
      <c r="G44" s="454"/>
      <c r="H44" s="140"/>
    </row>
    <row r="45" spans="1:8" s="13" customFormat="1" ht="13.5" customHeight="1">
      <c r="A45" s="455"/>
      <c r="B45" s="138"/>
      <c r="D45" s="139" t="s">
        <v>24</v>
      </c>
      <c r="E45" s="137"/>
      <c r="F45" s="470">
        <f>+TB!C33</f>
        <v>82016.209999999963</v>
      </c>
      <c r="G45" s="454">
        <v>82016.209999999963</v>
      </c>
      <c r="H45" s="140"/>
    </row>
    <row r="46" spans="1:8" s="13" customFormat="1" ht="13.5" customHeight="1">
      <c r="A46" s="455"/>
      <c r="B46" s="138"/>
      <c r="D46" s="139" t="s">
        <v>330</v>
      </c>
      <c r="E46" s="137"/>
      <c r="F46" s="470">
        <f>+TB!C34</f>
        <v>849005.01000000164</v>
      </c>
      <c r="G46" s="454">
        <v>5982.0000000018626</v>
      </c>
      <c r="H46" s="140"/>
    </row>
    <row r="47" spans="1:8" s="13" customFormat="1">
      <c r="A47" s="455"/>
      <c r="B47" s="138"/>
      <c r="D47" s="139" t="s">
        <v>80</v>
      </c>
      <c r="E47" s="137"/>
      <c r="F47" s="470">
        <f>+TB!C35</f>
        <v>152.09</v>
      </c>
      <c r="G47" s="574">
        <v>152.09</v>
      </c>
      <c r="H47" s="140"/>
    </row>
    <row r="48" spans="1:8">
      <c r="A48" s="455"/>
      <c r="B48" s="138"/>
      <c r="C48" s="438" t="s">
        <v>836</v>
      </c>
      <c r="D48" s="137"/>
      <c r="E48" s="137"/>
      <c r="F48" s="473">
        <f>SUM(F26:F47)</f>
        <v>14938085.729999967</v>
      </c>
      <c r="G48" s="473">
        <f>SUM(G26:G47)</f>
        <v>4979848.3999999734</v>
      </c>
      <c r="H48" s="430"/>
    </row>
    <row r="49" spans="1:8" s="13" customFormat="1">
      <c r="A49" s="455"/>
      <c r="B49" s="138" t="s">
        <v>224</v>
      </c>
      <c r="C49" s="139"/>
      <c r="D49" s="139"/>
      <c r="E49" s="137"/>
      <c r="F49" s="474"/>
      <c r="G49" s="456"/>
      <c r="H49" s="140"/>
    </row>
    <row r="50" spans="1:8" hidden="1">
      <c r="A50" s="455"/>
      <c r="B50" s="138"/>
      <c r="C50" s="438" t="s">
        <v>816</v>
      </c>
      <c r="D50" s="137"/>
      <c r="E50" s="137"/>
      <c r="F50" s="472"/>
      <c r="G50" s="456"/>
      <c r="H50"/>
    </row>
    <row r="51" spans="1:8" hidden="1">
      <c r="A51" s="455"/>
      <c r="B51" s="138"/>
      <c r="C51" s="138"/>
      <c r="D51" s="26" t="s">
        <v>532</v>
      </c>
      <c r="E51" s="137"/>
      <c r="F51" s="470">
        <f>+TB!C36</f>
        <v>0</v>
      </c>
      <c r="G51" s="454">
        <v>0</v>
      </c>
      <c r="H51"/>
    </row>
    <row r="52" spans="1:8" hidden="1">
      <c r="A52" s="455"/>
      <c r="B52" s="138"/>
      <c r="C52" s="138"/>
      <c r="D52" s="26" t="s">
        <v>531</v>
      </c>
      <c r="E52" s="137"/>
      <c r="F52" s="470">
        <f>+TB!C37</f>
        <v>0</v>
      </c>
      <c r="G52" s="454">
        <v>0</v>
      </c>
      <c r="H52"/>
    </row>
    <row r="53" spans="1:8" hidden="1">
      <c r="A53" s="455"/>
      <c r="B53" s="138"/>
      <c r="C53" s="138"/>
      <c r="D53" s="26" t="s">
        <v>530</v>
      </c>
      <c r="E53" s="137"/>
      <c r="F53" s="470">
        <f>+TB!C38</f>
        <v>0</v>
      </c>
      <c r="G53" s="454">
        <v>0</v>
      </c>
      <c r="H53"/>
    </row>
    <row r="54" spans="1:8" hidden="1">
      <c r="A54" s="455"/>
      <c r="B54" s="138"/>
      <c r="C54" s="138"/>
      <c r="D54" s="26" t="s">
        <v>529</v>
      </c>
      <c r="E54" s="137"/>
      <c r="F54" s="470">
        <f>+TB!C39</f>
        <v>0</v>
      </c>
      <c r="G54" s="454">
        <v>0</v>
      </c>
      <c r="H54"/>
    </row>
    <row r="55" spans="1:8">
      <c r="A55" s="455"/>
      <c r="B55" s="138"/>
      <c r="C55" s="438" t="s">
        <v>817</v>
      </c>
      <c r="D55" s="26"/>
      <c r="E55" s="137"/>
      <c r="F55" s="472"/>
      <c r="G55" s="456"/>
      <c r="H55"/>
    </row>
    <row r="56" spans="1:8" s="13" customFormat="1">
      <c r="A56" s="455"/>
      <c r="B56" s="138"/>
      <c r="D56" s="139" t="s">
        <v>25</v>
      </c>
      <c r="E56" s="137"/>
      <c r="F56" s="470">
        <f>+TB!C40</f>
        <v>55961.95</v>
      </c>
      <c r="G56" s="574">
        <v>0</v>
      </c>
      <c r="H56" s="140"/>
    </row>
    <row r="57" spans="1:8" hidden="1">
      <c r="A57" s="455"/>
      <c r="B57" s="138"/>
      <c r="C57" s="138"/>
      <c r="D57" s="139" t="s">
        <v>533</v>
      </c>
      <c r="E57" s="137"/>
      <c r="F57" s="470">
        <f>+TB!C41</f>
        <v>0</v>
      </c>
      <c r="G57" s="454">
        <v>0</v>
      </c>
      <c r="H57"/>
    </row>
    <row r="58" spans="1:8" hidden="1">
      <c r="A58" s="455"/>
      <c r="B58" s="138"/>
      <c r="C58" s="138"/>
      <c r="D58" s="139" t="s">
        <v>534</v>
      </c>
      <c r="E58" s="137"/>
      <c r="F58" s="470">
        <f>+TB!C42</f>
        <v>0</v>
      </c>
      <c r="G58" s="454">
        <v>0</v>
      </c>
      <c r="H58"/>
    </row>
    <row r="59" spans="1:8" hidden="1">
      <c r="A59" s="455"/>
      <c r="B59" s="138"/>
      <c r="C59" s="138"/>
      <c r="D59" s="139" t="s">
        <v>535</v>
      </c>
      <c r="E59" s="137"/>
      <c r="F59" s="470">
        <f>+TB!C43</f>
        <v>0</v>
      </c>
      <c r="G59" s="454">
        <v>0</v>
      </c>
      <c r="H59"/>
    </row>
    <row r="60" spans="1:8" s="13" customFormat="1" hidden="1">
      <c r="A60" s="455"/>
      <c r="B60" s="138"/>
      <c r="D60" s="139" t="s">
        <v>26</v>
      </c>
      <c r="E60" s="137"/>
      <c r="F60" s="470">
        <f>+TB!C44</f>
        <v>0</v>
      </c>
      <c r="G60" s="454">
        <v>0</v>
      </c>
      <c r="H60" s="140"/>
    </row>
    <row r="61" spans="1:8" s="13" customFormat="1" hidden="1">
      <c r="A61" s="455"/>
      <c r="B61" s="138"/>
      <c r="D61" s="139" t="s">
        <v>85</v>
      </c>
      <c r="E61" s="137"/>
      <c r="F61" s="470">
        <f>+TB!C45</f>
        <v>0</v>
      </c>
      <c r="G61" s="454">
        <v>0</v>
      </c>
      <c r="H61" s="140"/>
    </row>
    <row r="62" spans="1:8" hidden="1">
      <c r="A62" s="455"/>
      <c r="B62" s="138"/>
      <c r="C62" s="138"/>
      <c r="D62" s="139" t="s">
        <v>536</v>
      </c>
      <c r="E62" s="137"/>
      <c r="F62" s="470">
        <f>+TB!C46</f>
        <v>0</v>
      </c>
      <c r="G62" s="454">
        <v>0</v>
      </c>
      <c r="H62"/>
    </row>
    <row r="63" spans="1:8" hidden="1">
      <c r="A63" s="455"/>
      <c r="B63" s="138"/>
      <c r="C63" s="138"/>
      <c r="D63" s="139" t="s">
        <v>537</v>
      </c>
      <c r="E63" s="137"/>
      <c r="F63" s="470">
        <f>+TB!C47</f>
        <v>0</v>
      </c>
      <c r="G63" s="454">
        <v>0</v>
      </c>
      <c r="H63"/>
    </row>
    <row r="64" spans="1:8" s="13" customFormat="1" hidden="1">
      <c r="A64" s="455"/>
      <c r="B64" s="138"/>
      <c r="D64" s="139" t="s">
        <v>86</v>
      </c>
      <c r="E64" s="137"/>
      <c r="F64" s="470">
        <f>+TB!C48</f>
        <v>0</v>
      </c>
      <c r="G64" s="454">
        <v>0</v>
      </c>
      <c r="H64" s="140"/>
    </row>
    <row r="65" spans="1:8" hidden="1">
      <c r="A65" s="455"/>
      <c r="B65" s="138"/>
      <c r="C65" s="138"/>
      <c r="D65" s="139" t="s">
        <v>538</v>
      </c>
      <c r="E65" s="137"/>
      <c r="F65" s="470">
        <f>+TB!C49</f>
        <v>0</v>
      </c>
      <c r="G65" s="454">
        <v>0</v>
      </c>
      <c r="H65"/>
    </row>
    <row r="66" spans="1:8" s="13" customFormat="1">
      <c r="A66" s="455"/>
      <c r="B66" s="138"/>
      <c r="D66" s="139" t="s">
        <v>87</v>
      </c>
      <c r="E66" s="137"/>
      <c r="F66" s="470">
        <f>+TB!C50</f>
        <v>1792360</v>
      </c>
      <c r="G66" s="574">
        <v>134582</v>
      </c>
      <c r="H66" s="140"/>
    </row>
    <row r="67" spans="1:8" hidden="1">
      <c r="A67" s="455"/>
      <c r="B67" s="138"/>
      <c r="C67" s="138"/>
      <c r="D67" s="139" t="s">
        <v>539</v>
      </c>
      <c r="E67" s="137"/>
      <c r="F67" s="470">
        <f>+TB!C51</f>
        <v>0</v>
      </c>
      <c r="G67" s="454">
        <v>0</v>
      </c>
      <c r="H67"/>
    </row>
    <row r="68" spans="1:8" hidden="1">
      <c r="A68" s="455"/>
      <c r="B68" s="138"/>
      <c r="C68" s="138"/>
      <c r="D68" s="139" t="s">
        <v>540</v>
      </c>
      <c r="E68" s="137"/>
      <c r="F68" s="470">
        <f>+TB!C52</f>
        <v>0</v>
      </c>
      <c r="G68" s="454">
        <v>0</v>
      </c>
      <c r="H68"/>
    </row>
    <row r="69" spans="1:8" hidden="1">
      <c r="A69" s="455"/>
      <c r="B69" s="138"/>
      <c r="C69" s="138"/>
      <c r="D69" s="139" t="s">
        <v>541</v>
      </c>
      <c r="E69" s="137"/>
      <c r="F69" s="470">
        <f>+TB!C53</f>
        <v>0</v>
      </c>
      <c r="G69" s="454">
        <v>0</v>
      </c>
      <c r="H69"/>
    </row>
    <row r="70" spans="1:8" hidden="1">
      <c r="A70" s="455"/>
      <c r="B70" s="138"/>
      <c r="C70" s="438" t="s">
        <v>818</v>
      </c>
      <c r="D70" s="139"/>
      <c r="E70" s="137"/>
      <c r="F70" s="425"/>
      <c r="G70" s="454"/>
      <c r="H70"/>
    </row>
    <row r="71" spans="1:8" hidden="1">
      <c r="A71" s="455"/>
      <c r="B71" s="138"/>
      <c r="C71" s="138"/>
      <c r="D71" s="139" t="s">
        <v>542</v>
      </c>
      <c r="E71" s="137"/>
      <c r="F71" s="470">
        <f>+TB!C54</f>
        <v>0</v>
      </c>
      <c r="G71" s="454">
        <v>0</v>
      </c>
      <c r="H71"/>
    </row>
    <row r="72" spans="1:8" hidden="1">
      <c r="A72" s="455"/>
      <c r="B72" s="138"/>
      <c r="C72" s="138"/>
      <c r="D72" s="139" t="s">
        <v>543</v>
      </c>
      <c r="E72" s="137"/>
      <c r="F72" s="470">
        <f>+TB!C55</f>
        <v>0</v>
      </c>
      <c r="G72" s="454">
        <v>0</v>
      </c>
      <c r="H72"/>
    </row>
    <row r="73" spans="1:8" hidden="1">
      <c r="A73" s="455"/>
      <c r="B73" s="138"/>
      <c r="C73" s="138"/>
      <c r="D73" s="139" t="s">
        <v>544</v>
      </c>
      <c r="E73" s="137"/>
      <c r="F73" s="470">
        <f>+TB!C56</f>
        <v>0</v>
      </c>
      <c r="G73" s="454">
        <v>0</v>
      </c>
      <c r="H73"/>
    </row>
    <row r="74" spans="1:8">
      <c r="A74" s="455"/>
      <c r="B74" s="138"/>
      <c r="C74" s="438" t="s">
        <v>819</v>
      </c>
      <c r="D74" s="137"/>
      <c r="E74" s="137"/>
      <c r="F74" s="475">
        <f>SUM(F51:F73)</f>
        <v>1848321.95</v>
      </c>
      <c r="G74" s="475">
        <f>SUM(G51:G73)</f>
        <v>134582</v>
      </c>
      <c r="H74"/>
    </row>
    <row r="75" spans="1:8" s="13" customFormat="1">
      <c r="A75" s="455"/>
      <c r="B75" s="138" t="s">
        <v>351</v>
      </c>
      <c r="C75" s="139"/>
      <c r="D75" s="139"/>
      <c r="E75" s="137"/>
      <c r="F75" s="470"/>
      <c r="G75" s="456"/>
      <c r="H75" s="140"/>
    </row>
    <row r="76" spans="1:8" s="13" customFormat="1" hidden="1">
      <c r="A76" s="455"/>
      <c r="B76" s="138"/>
      <c r="C76" s="13" t="s">
        <v>545</v>
      </c>
      <c r="D76" s="139"/>
      <c r="E76" s="137"/>
      <c r="F76" s="470">
        <f>+TB!C57</f>
        <v>0</v>
      </c>
      <c r="G76" s="454">
        <v>0</v>
      </c>
      <c r="H76" s="140"/>
    </row>
    <row r="77" spans="1:8" s="13" customFormat="1" hidden="1">
      <c r="A77" s="455"/>
      <c r="B77" s="138"/>
      <c r="C77" s="13" t="s">
        <v>546</v>
      </c>
      <c r="D77" s="139"/>
      <c r="E77" s="137"/>
      <c r="F77" s="470">
        <f>+TB!C58</f>
        <v>0</v>
      </c>
      <c r="G77" s="454">
        <v>0</v>
      </c>
      <c r="H77" s="140"/>
    </row>
    <row r="78" spans="1:8" s="13" customFormat="1" hidden="1">
      <c r="A78" s="455"/>
      <c r="B78" s="138"/>
      <c r="C78" s="13" t="s">
        <v>547</v>
      </c>
      <c r="D78" s="139"/>
      <c r="E78" s="137"/>
      <c r="F78" s="470">
        <f>+TB!C59</f>
        <v>0</v>
      </c>
      <c r="G78" s="454">
        <v>0</v>
      </c>
      <c r="H78" s="140"/>
    </row>
    <row r="79" spans="1:8" s="13" customFormat="1" hidden="1">
      <c r="A79" s="455"/>
      <c r="B79" s="138"/>
      <c r="C79" s="137" t="s">
        <v>820</v>
      </c>
      <c r="D79" s="139"/>
      <c r="E79" s="137"/>
      <c r="F79" s="470">
        <f>+TB!C60</f>
        <v>0</v>
      </c>
      <c r="G79" s="454">
        <v>0</v>
      </c>
      <c r="H79" s="140"/>
    </row>
    <row r="80" spans="1:8" s="13" customFormat="1">
      <c r="A80" s="455"/>
      <c r="B80" s="138"/>
      <c r="C80" s="139" t="s">
        <v>350</v>
      </c>
      <c r="D80" s="139"/>
      <c r="E80" s="137"/>
      <c r="F80" s="470">
        <f>+TB!C61</f>
        <v>3779668.5200000005</v>
      </c>
      <c r="G80" s="574">
        <v>741038.75</v>
      </c>
      <c r="H80" s="140"/>
    </row>
    <row r="81" spans="1:8" s="13" customFormat="1" hidden="1">
      <c r="A81" s="455"/>
      <c r="B81" s="138"/>
      <c r="C81" s="26" t="s">
        <v>549</v>
      </c>
      <c r="D81" s="139"/>
      <c r="E81" s="137"/>
      <c r="F81" s="470">
        <f>+TB!C62</f>
        <v>0</v>
      </c>
      <c r="G81" s="100">
        <v>0</v>
      </c>
      <c r="H81" s="140"/>
    </row>
    <row r="82" spans="1:8" s="13" customFormat="1" hidden="1">
      <c r="A82" s="455"/>
      <c r="B82" s="138"/>
      <c r="C82" s="26" t="s">
        <v>550</v>
      </c>
      <c r="D82" s="139"/>
      <c r="E82" s="137"/>
      <c r="F82" s="470">
        <f>+TB!C63</f>
        <v>0</v>
      </c>
      <c r="G82" s="100">
        <v>0</v>
      </c>
      <c r="H82" s="140"/>
    </row>
    <row r="83" spans="1:8" s="13" customFormat="1">
      <c r="A83" s="455"/>
      <c r="B83" s="138"/>
      <c r="C83" s="438" t="s">
        <v>821</v>
      </c>
      <c r="D83" s="139"/>
      <c r="E83" s="137"/>
      <c r="F83" s="473">
        <f>SUM(F76:F82)</f>
        <v>3779668.5200000005</v>
      </c>
      <c r="G83" s="473">
        <f>SUM(G76:G82)</f>
        <v>741038.75</v>
      </c>
      <c r="H83" s="140"/>
    </row>
    <row r="84" spans="1:8" hidden="1">
      <c r="A84" s="455"/>
      <c r="B84" s="138" t="s">
        <v>552</v>
      </c>
      <c r="C84" s="138"/>
      <c r="D84" s="137"/>
      <c r="E84" s="137"/>
      <c r="F84" s="476"/>
      <c r="G84" s="640"/>
      <c r="H84" s="430"/>
    </row>
    <row r="85" spans="1:8" hidden="1">
      <c r="A85" s="455"/>
      <c r="B85" s="138"/>
      <c r="C85" s="105" t="s">
        <v>551</v>
      </c>
      <c r="D85" s="137"/>
      <c r="E85" s="137"/>
      <c r="F85" s="470">
        <f>+TB!C64</f>
        <v>0</v>
      </c>
      <c r="G85" s="451">
        <v>0</v>
      </c>
      <c r="H85" s="430"/>
    </row>
    <row r="86" spans="1:8" hidden="1">
      <c r="A86" s="455"/>
      <c r="B86" s="138"/>
      <c r="C86" s="105" t="s">
        <v>552</v>
      </c>
      <c r="D86" s="137"/>
      <c r="E86" s="137"/>
      <c r="F86" s="470">
        <f>+TB!C65</f>
        <v>0</v>
      </c>
      <c r="G86" s="451">
        <v>0</v>
      </c>
      <c r="H86" s="430"/>
    </row>
    <row r="87" spans="1:8" hidden="1">
      <c r="A87" s="455"/>
      <c r="B87" s="138"/>
      <c r="C87" s="438" t="s">
        <v>822</v>
      </c>
      <c r="D87" s="137"/>
      <c r="E87" s="137"/>
      <c r="F87" s="473">
        <f>SUM(F85:F86)</f>
        <v>0</v>
      </c>
      <c r="G87" s="473">
        <f>SUM(G85:G86)</f>
        <v>0</v>
      </c>
      <c r="H87" s="430"/>
    </row>
    <row r="88" spans="1:8" s="13" customFormat="1">
      <c r="A88" s="457" t="s">
        <v>225</v>
      </c>
      <c r="F88" s="475">
        <f>+F87+F83+F74+F48+F25</f>
        <v>159094709.30999997</v>
      </c>
      <c r="G88" s="475">
        <f>+G87+G83+G74+G48+G25</f>
        <v>128290335.75</v>
      </c>
    </row>
    <row r="89" spans="1:8" hidden="1">
      <c r="A89" s="457" t="s">
        <v>823</v>
      </c>
      <c r="B89" s="142"/>
      <c r="C89" s="138"/>
      <c r="D89" s="137"/>
      <c r="E89" s="137"/>
      <c r="F89" s="472"/>
      <c r="G89" s="456"/>
      <c r="H89" s="430"/>
    </row>
    <row r="90" spans="1:8" hidden="1">
      <c r="A90" s="457"/>
      <c r="B90" s="138"/>
      <c r="C90" s="105" t="s">
        <v>553</v>
      </c>
      <c r="D90" s="137"/>
      <c r="E90" s="137"/>
      <c r="F90" s="470">
        <f>+TB!C66</f>
        <v>0</v>
      </c>
      <c r="G90" s="454">
        <v>0</v>
      </c>
      <c r="H90" s="430"/>
    </row>
    <row r="91" spans="1:8" hidden="1">
      <c r="A91" s="457"/>
      <c r="B91" s="138"/>
      <c r="C91" s="105" t="s">
        <v>554</v>
      </c>
      <c r="D91" s="137"/>
      <c r="E91" s="137"/>
      <c r="F91" s="470">
        <f>+TB!C67</f>
        <v>0</v>
      </c>
      <c r="G91" s="454">
        <v>0</v>
      </c>
      <c r="H91" s="430"/>
    </row>
    <row r="92" spans="1:8" hidden="1">
      <c r="A92" s="457"/>
      <c r="B92" s="138"/>
      <c r="C92" s="105" t="s">
        <v>555</v>
      </c>
      <c r="D92" s="137"/>
      <c r="E92" s="137"/>
      <c r="F92" s="470">
        <f>+TB!C68</f>
        <v>0</v>
      </c>
      <c r="G92" s="454">
        <v>0</v>
      </c>
      <c r="H92" s="430"/>
    </row>
    <row r="93" spans="1:8" hidden="1">
      <c r="A93" s="457"/>
      <c r="B93" s="138"/>
      <c r="C93" s="105" t="s">
        <v>556</v>
      </c>
      <c r="D93" s="137"/>
      <c r="E93" s="137"/>
      <c r="F93" s="470">
        <f>+TB!C69</f>
        <v>0</v>
      </c>
      <c r="G93" s="454">
        <v>0</v>
      </c>
      <c r="H93" s="430"/>
    </row>
    <row r="94" spans="1:8" hidden="1">
      <c r="A94" s="457"/>
      <c r="B94" s="138"/>
      <c r="C94" s="105" t="s">
        <v>557</v>
      </c>
      <c r="D94" s="137"/>
      <c r="E94" s="137"/>
      <c r="F94" s="470">
        <f>+TB!C70</f>
        <v>0</v>
      </c>
      <c r="G94" s="454">
        <v>0</v>
      </c>
      <c r="H94" s="430"/>
    </row>
    <row r="95" spans="1:8" hidden="1">
      <c r="A95" s="457"/>
      <c r="B95" s="138"/>
      <c r="C95" s="105" t="s">
        <v>824</v>
      </c>
      <c r="D95" s="137"/>
      <c r="E95" s="137"/>
      <c r="F95" s="473">
        <f>SUM(F90:F94)</f>
        <v>0</v>
      </c>
      <c r="G95" s="473">
        <f>SUM(G90:G94)</f>
        <v>0</v>
      </c>
      <c r="H95" s="430"/>
    </row>
    <row r="96" spans="1:8">
      <c r="A96" s="457" t="s">
        <v>226</v>
      </c>
      <c r="B96" s="138"/>
      <c r="C96" s="138"/>
      <c r="D96" s="137"/>
      <c r="E96" s="137"/>
      <c r="F96" s="472"/>
      <c r="G96" s="456"/>
      <c r="H96" s="430"/>
    </row>
    <row r="97" spans="1:8" s="13" customFormat="1">
      <c r="A97" s="457"/>
      <c r="B97" s="138" t="s">
        <v>825</v>
      </c>
      <c r="F97" s="474"/>
      <c r="G97" s="641"/>
      <c r="H97" s="140"/>
    </row>
    <row r="98" spans="1:8" s="13" customFormat="1">
      <c r="A98" s="457"/>
      <c r="C98" s="13" t="s">
        <v>356</v>
      </c>
      <c r="F98" s="470">
        <f>+TB!C71</f>
        <v>45000</v>
      </c>
      <c r="G98" s="574">
        <v>45000</v>
      </c>
      <c r="H98" s="140"/>
    </row>
    <row r="99" spans="1:8" s="13" customFormat="1">
      <c r="A99" s="455"/>
      <c r="B99" s="138"/>
      <c r="C99" s="139" t="s">
        <v>27</v>
      </c>
      <c r="D99" s="139"/>
      <c r="E99" s="137"/>
      <c r="F99" s="470">
        <f>+TB!C72-TB!E73</f>
        <v>4038778.11</v>
      </c>
      <c r="G99" s="574">
        <v>4038778.11</v>
      </c>
      <c r="H99" s="140"/>
    </row>
    <row r="100" spans="1:8" s="13" customFormat="1">
      <c r="A100" s="455"/>
      <c r="B100" s="138"/>
      <c r="C100" s="139" t="s">
        <v>358</v>
      </c>
      <c r="D100" s="139"/>
      <c r="E100" s="137"/>
      <c r="F100" s="470">
        <f>+TB!C74-TB!E75</f>
        <v>157176.54999999999</v>
      </c>
      <c r="G100" s="574">
        <v>157176.54999999999</v>
      </c>
      <c r="H100" s="140"/>
    </row>
    <row r="101" spans="1:8">
      <c r="A101" s="455"/>
      <c r="B101" s="138"/>
      <c r="C101" s="139" t="s">
        <v>826</v>
      </c>
      <c r="D101" s="13"/>
      <c r="E101" s="458"/>
      <c r="F101" s="473">
        <f>SUM(F98:F100)</f>
        <v>4240954.66</v>
      </c>
      <c r="G101" s="473">
        <f>SUM(G98:G100)</f>
        <v>4240954.66</v>
      </c>
      <c r="H101" s="430"/>
    </row>
    <row r="102" spans="1:8" s="13" customFormat="1">
      <c r="A102" s="455"/>
      <c r="B102" s="138" t="s">
        <v>827</v>
      </c>
      <c r="C102" s="139"/>
      <c r="D102" s="139"/>
      <c r="E102" s="137"/>
      <c r="F102" s="470"/>
      <c r="G102" s="15"/>
      <c r="H102" s="140"/>
    </row>
    <row r="103" spans="1:8" s="13" customFormat="1">
      <c r="A103" s="455"/>
      <c r="B103" s="138"/>
      <c r="C103" s="139" t="s">
        <v>28</v>
      </c>
      <c r="D103" s="139"/>
      <c r="E103" s="137"/>
      <c r="F103" s="470">
        <f>+TB!C76-TB!E77</f>
        <v>432196.28</v>
      </c>
      <c r="G103" s="574">
        <v>432196.28</v>
      </c>
      <c r="H103" s="140"/>
    </row>
    <row r="104" spans="1:8" s="13" customFormat="1">
      <c r="A104" s="455"/>
      <c r="B104" s="138"/>
      <c r="C104" s="139" t="s">
        <v>29</v>
      </c>
      <c r="D104" s="139"/>
      <c r="E104" s="137"/>
      <c r="F104" s="470">
        <f>+TB!C78-TB!E79</f>
        <v>31819886.289999999</v>
      </c>
      <c r="G104" s="574">
        <v>26833065.060000002</v>
      </c>
      <c r="H104" s="140"/>
    </row>
    <row r="105" spans="1:8" hidden="1">
      <c r="A105" s="455"/>
      <c r="B105" s="138"/>
      <c r="C105" s="139" t="s">
        <v>562</v>
      </c>
      <c r="D105" s="13"/>
      <c r="E105" s="458"/>
      <c r="F105" s="470">
        <f>+TB!C80-TB!E81</f>
        <v>0</v>
      </c>
      <c r="G105" s="451">
        <v>0</v>
      </c>
      <c r="H105" s="430"/>
    </row>
    <row r="106" spans="1:8" hidden="1">
      <c r="A106" s="455"/>
      <c r="B106" s="138"/>
      <c r="C106" s="139" t="s">
        <v>564</v>
      </c>
      <c r="D106" s="13"/>
      <c r="E106" s="458"/>
      <c r="F106" s="470">
        <f>+TB!C82-TB!E83</f>
        <v>0</v>
      </c>
      <c r="G106" s="451">
        <v>0</v>
      </c>
      <c r="H106" s="430"/>
    </row>
    <row r="107" spans="1:8" s="13" customFormat="1">
      <c r="A107" s="455"/>
      <c r="B107" s="138"/>
      <c r="C107" s="139" t="s">
        <v>30</v>
      </c>
      <c r="D107" s="139"/>
      <c r="E107" s="137"/>
      <c r="F107" s="470">
        <f>+TB!C84-TB!E85</f>
        <v>7753210.9199999999</v>
      </c>
      <c r="G107" s="574">
        <v>7753210.9199999999</v>
      </c>
      <c r="H107" s="140"/>
    </row>
    <row r="108" spans="1:8">
      <c r="A108" s="455"/>
      <c r="B108" s="138"/>
      <c r="C108" s="350" t="s">
        <v>828</v>
      </c>
      <c r="D108" s="13"/>
      <c r="E108" s="146"/>
      <c r="F108" s="473">
        <f>SUM(F103:F107)</f>
        <v>40005293.490000002</v>
      </c>
      <c r="G108" s="473">
        <f>SUM(G103:G107)</f>
        <v>35018472.260000005</v>
      </c>
      <c r="H108" s="430"/>
    </row>
    <row r="109" spans="1:8" hidden="1">
      <c r="A109" s="455"/>
      <c r="B109" s="138" t="s">
        <v>829</v>
      </c>
      <c r="C109" s="139"/>
      <c r="D109" s="350"/>
      <c r="E109" s="146"/>
      <c r="F109" s="472"/>
      <c r="G109" s="100"/>
      <c r="H109" s="430"/>
    </row>
    <row r="110" spans="1:8" hidden="1">
      <c r="A110" s="455"/>
      <c r="B110" s="138"/>
      <c r="C110" s="139" t="s">
        <v>567</v>
      </c>
      <c r="D110" s="350"/>
      <c r="E110" s="146"/>
      <c r="F110" s="470">
        <f>+TB!C86-TB!E87</f>
        <v>0</v>
      </c>
      <c r="G110" s="100">
        <v>0</v>
      </c>
      <c r="H110" s="430"/>
    </row>
    <row r="111" spans="1:8" hidden="1">
      <c r="A111" s="455"/>
      <c r="B111" s="138"/>
      <c r="C111" s="139" t="s">
        <v>569</v>
      </c>
      <c r="D111" s="350"/>
      <c r="E111" s="146"/>
      <c r="F111" s="470">
        <f>+TB!C88-TB!E89</f>
        <v>0</v>
      </c>
      <c r="G111" s="100">
        <v>0</v>
      </c>
      <c r="H111" s="430"/>
    </row>
    <row r="112" spans="1:8" hidden="1">
      <c r="A112" s="455"/>
      <c r="B112" s="138"/>
      <c r="C112" s="139" t="s">
        <v>571</v>
      </c>
      <c r="D112" s="350"/>
      <c r="E112" s="146"/>
      <c r="F112" s="470">
        <f>+TB!C90-TB!E91</f>
        <v>0</v>
      </c>
      <c r="G112" s="100">
        <v>0</v>
      </c>
      <c r="H112" s="430"/>
    </row>
    <row r="113" spans="1:10" hidden="1">
      <c r="A113" s="455"/>
      <c r="B113" s="138"/>
      <c r="C113" s="139" t="s">
        <v>830</v>
      </c>
      <c r="D113" s="350"/>
      <c r="E113" s="146"/>
      <c r="F113" s="473">
        <f>SUM(F110:F112)</f>
        <v>0</v>
      </c>
      <c r="G113" s="473">
        <f>SUM(G110:G112)</f>
        <v>0</v>
      </c>
      <c r="H113" s="430"/>
    </row>
    <row r="114" spans="1:10" s="13" customFormat="1">
      <c r="A114" s="455"/>
      <c r="B114" s="138" t="s">
        <v>831</v>
      </c>
      <c r="C114" s="139"/>
      <c r="D114" s="139"/>
      <c r="E114" s="137"/>
      <c r="F114" s="470"/>
      <c r="G114" s="15"/>
      <c r="H114" s="140"/>
    </row>
    <row r="115" spans="1:10" s="13" customFormat="1" ht="12" customHeight="1">
      <c r="A115" s="455"/>
      <c r="B115" s="138"/>
      <c r="C115" s="139" t="s">
        <v>31</v>
      </c>
      <c r="D115" s="139"/>
      <c r="E115" s="137"/>
      <c r="F115" s="470">
        <f>+TB!C92-TB!E93</f>
        <v>952126.85000000009</v>
      </c>
      <c r="G115" s="574">
        <v>959119.85000000009</v>
      </c>
      <c r="H115" s="140"/>
    </row>
    <row r="116" spans="1:10" s="142" customFormat="1">
      <c r="A116" s="198"/>
      <c r="B116" s="138"/>
      <c r="C116" s="139" t="s">
        <v>32</v>
      </c>
      <c r="D116" s="139"/>
      <c r="E116" s="138"/>
      <c r="F116" s="470">
        <f>+TB!C94-TB!E95</f>
        <v>607760</v>
      </c>
      <c r="G116" s="576">
        <v>607760</v>
      </c>
      <c r="H116" s="143"/>
      <c r="J116" s="203"/>
    </row>
    <row r="117" spans="1:10" s="142" customFormat="1">
      <c r="A117" s="457"/>
      <c r="B117" s="138"/>
      <c r="C117" s="139" t="s">
        <v>33</v>
      </c>
      <c r="D117" s="139"/>
      <c r="E117" s="138"/>
      <c r="F117" s="470">
        <f>+TB!C96-TB!E97</f>
        <v>401222</v>
      </c>
      <c r="G117" s="100">
        <v>422099.75</v>
      </c>
      <c r="H117" s="143"/>
    </row>
    <row r="118" spans="1:10" s="13" customFormat="1">
      <c r="A118" s="457"/>
      <c r="B118" s="138"/>
      <c r="C118" s="139" t="s">
        <v>89</v>
      </c>
      <c r="D118" s="139"/>
      <c r="E118" s="144"/>
      <c r="F118" s="470">
        <f>+TB!C98-TB!E99</f>
        <v>1173.28</v>
      </c>
      <c r="G118" s="574">
        <v>1173.28</v>
      </c>
      <c r="H118" s="140"/>
    </row>
    <row r="119" spans="1:10">
      <c r="A119" s="455"/>
      <c r="B119" s="138"/>
      <c r="C119" s="438" t="s">
        <v>832</v>
      </c>
      <c r="D119" s="13"/>
      <c r="E119" s="146"/>
      <c r="F119" s="477">
        <f>SUM(F115:F118)</f>
        <v>1962282.1300000001</v>
      </c>
      <c r="G119" s="477">
        <f>SUM(G115:G118)</f>
        <v>1990152.8800000001</v>
      </c>
      <c r="H119" s="430"/>
    </row>
    <row r="120" spans="1:10">
      <c r="A120" s="455"/>
      <c r="B120" s="138" t="s">
        <v>833</v>
      </c>
      <c r="C120" s="139"/>
      <c r="D120" s="438"/>
      <c r="E120" s="146"/>
      <c r="F120" s="107"/>
      <c r="G120" s="451"/>
      <c r="H120" s="430"/>
    </row>
    <row r="121" spans="1:10" hidden="1">
      <c r="A121" s="455"/>
      <c r="B121" s="138"/>
      <c r="C121" s="139" t="s">
        <v>577</v>
      </c>
      <c r="D121" s="438"/>
      <c r="E121" s="146"/>
      <c r="F121" s="470">
        <f>+TB!C100-TB!E101</f>
        <v>0</v>
      </c>
      <c r="G121" s="451">
        <v>0</v>
      </c>
      <c r="H121" s="430"/>
    </row>
    <row r="122" spans="1:10" s="13" customFormat="1">
      <c r="A122" s="455"/>
      <c r="B122" s="138"/>
      <c r="C122" s="139" t="s">
        <v>90</v>
      </c>
      <c r="D122" s="139"/>
      <c r="E122" s="144"/>
      <c r="F122" s="470">
        <f>+TB!C102-TB!E103</f>
        <v>140200</v>
      </c>
      <c r="G122" s="574">
        <v>140200</v>
      </c>
      <c r="H122" s="140"/>
    </row>
    <row r="123" spans="1:10" s="13" customFormat="1">
      <c r="A123" s="455"/>
      <c r="B123" s="138"/>
      <c r="C123" s="139" t="s">
        <v>91</v>
      </c>
      <c r="D123" s="139"/>
      <c r="E123" s="144"/>
      <c r="F123" s="470">
        <f>+TB!C104-TB!E105</f>
        <v>130965.75</v>
      </c>
      <c r="G123" s="574">
        <v>132525</v>
      </c>
      <c r="H123" s="140"/>
      <c r="J123" s="16"/>
    </row>
    <row r="124" spans="1:10" s="13" customFormat="1">
      <c r="A124" s="455"/>
      <c r="B124" s="138"/>
      <c r="C124" s="139" t="s">
        <v>34</v>
      </c>
      <c r="D124" s="139"/>
      <c r="E124" s="144"/>
      <c r="F124" s="470">
        <f>+TB!C106-TB!E107</f>
        <v>523284.75</v>
      </c>
      <c r="G124" s="639">
        <v>523284.75</v>
      </c>
      <c r="H124" s="140"/>
    </row>
    <row r="125" spans="1:10" s="13" customFormat="1" ht="15.75">
      <c r="A125" s="455"/>
      <c r="B125" s="138"/>
      <c r="C125" s="139" t="s">
        <v>35</v>
      </c>
      <c r="D125" s="139"/>
      <c r="E125" s="637"/>
      <c r="F125" s="470">
        <f>+TB!C108-TB!E109</f>
        <v>232200</v>
      </c>
      <c r="G125" s="574">
        <v>232200</v>
      </c>
      <c r="H125" s="140"/>
    </row>
    <row r="126" spans="1:10" hidden="1">
      <c r="A126" s="455"/>
      <c r="B126" s="138"/>
      <c r="C126" s="139" t="s">
        <v>583</v>
      </c>
      <c r="D126" s="13"/>
      <c r="E126" s="146"/>
      <c r="F126" s="470">
        <f>+TB!C110-TB!E111</f>
        <v>0</v>
      </c>
      <c r="G126" s="451">
        <v>0</v>
      </c>
      <c r="H126" s="430"/>
    </row>
    <row r="127" spans="1:10" hidden="1">
      <c r="A127" s="455"/>
      <c r="B127" s="138"/>
      <c r="C127" s="139" t="s">
        <v>834</v>
      </c>
      <c r="D127" s="13"/>
      <c r="E127" s="600"/>
      <c r="F127" s="470">
        <f>+TB!C112-TB!E113</f>
        <v>0</v>
      </c>
      <c r="G127" s="451">
        <v>0</v>
      </c>
      <c r="H127" s="430"/>
    </row>
    <row r="128" spans="1:10" hidden="1">
      <c r="A128" s="455"/>
      <c r="B128" s="138"/>
      <c r="C128" s="139" t="s">
        <v>587</v>
      </c>
      <c r="D128" s="13"/>
      <c r="E128" s="600"/>
      <c r="F128" s="470">
        <f>+TB!C114-TB!E115</f>
        <v>0</v>
      </c>
      <c r="G128" s="451">
        <v>0</v>
      </c>
      <c r="H128" s="430"/>
    </row>
    <row r="129" spans="1:8" s="13" customFormat="1" ht="15.75">
      <c r="A129" s="455"/>
      <c r="B129" s="138"/>
      <c r="C129" s="139" t="s">
        <v>92</v>
      </c>
      <c r="D129" s="139"/>
      <c r="E129" s="637"/>
      <c r="F129" s="470">
        <f>+TB!C116-TB!E117</f>
        <v>2530080.23</v>
      </c>
      <c r="G129" s="100">
        <v>2561098.5499999998</v>
      </c>
      <c r="H129" s="140"/>
    </row>
    <row r="130" spans="1:8" s="13" customFormat="1" ht="15.75">
      <c r="A130" s="455"/>
      <c r="B130" s="138"/>
      <c r="C130" s="139" t="s">
        <v>81</v>
      </c>
      <c r="D130" s="139"/>
      <c r="E130" s="637"/>
      <c r="F130" s="470">
        <f>+TB!C118-TB!E119</f>
        <v>74224.850000000006</v>
      </c>
      <c r="G130" s="100">
        <v>79462.850000000006</v>
      </c>
      <c r="H130" s="140"/>
    </row>
    <row r="131" spans="1:8" hidden="1">
      <c r="A131" s="455"/>
      <c r="B131" s="138"/>
      <c r="C131" s="139" t="s">
        <v>591</v>
      </c>
      <c r="D131" s="13"/>
      <c r="E131" s="458"/>
      <c r="F131" s="470">
        <f>+TB!C120-TB!E121</f>
        <v>0</v>
      </c>
      <c r="G131" s="451">
        <v>0</v>
      </c>
      <c r="H131" s="430"/>
    </row>
    <row r="132" spans="1:8" s="13" customFormat="1">
      <c r="A132" s="455"/>
      <c r="B132" s="138"/>
      <c r="C132" s="438" t="s">
        <v>835</v>
      </c>
      <c r="E132" s="600"/>
      <c r="F132" s="477">
        <f>SUM(F121:F131)</f>
        <v>3630955.58</v>
      </c>
      <c r="G132" s="477">
        <f>SUM(G121:G131)</f>
        <v>3668771.15</v>
      </c>
      <c r="H132" s="140"/>
    </row>
    <row r="133" spans="1:8">
      <c r="A133" s="645"/>
      <c r="B133" s="646" t="s">
        <v>837</v>
      </c>
      <c r="C133" s="647"/>
      <c r="D133" s="665"/>
      <c r="E133" s="666"/>
      <c r="F133" s="667"/>
      <c r="G133" s="451"/>
      <c r="H133" s="430"/>
    </row>
    <row r="134" spans="1:8" s="13" customFormat="1" ht="15.75">
      <c r="A134" s="455"/>
      <c r="B134" s="138"/>
      <c r="C134" s="139" t="s">
        <v>82</v>
      </c>
      <c r="D134" s="139"/>
      <c r="E134" s="145"/>
      <c r="F134" s="470">
        <f>+TB!C122-TB!E123</f>
        <v>1502200</v>
      </c>
      <c r="G134" s="574">
        <v>1502200</v>
      </c>
      <c r="H134" s="140"/>
    </row>
    <row r="135" spans="1:8" hidden="1">
      <c r="A135" s="455"/>
      <c r="B135" s="138"/>
      <c r="C135" s="139" t="s">
        <v>594</v>
      </c>
      <c r="D135" s="13"/>
      <c r="E135" s="458"/>
      <c r="F135" s="470">
        <f>+TB!C124-TB!E125</f>
        <v>0</v>
      </c>
      <c r="G135" s="451">
        <v>0</v>
      </c>
      <c r="H135" s="430"/>
    </row>
    <row r="136" spans="1:8" hidden="1">
      <c r="A136" s="455"/>
      <c r="B136" s="138"/>
      <c r="C136" s="139" t="s">
        <v>596</v>
      </c>
      <c r="D136" s="13"/>
      <c r="E136" s="458"/>
      <c r="F136" s="470">
        <f>+TB!C126-TB!E127</f>
        <v>0</v>
      </c>
      <c r="G136" s="451">
        <v>0</v>
      </c>
      <c r="H136" s="430"/>
    </row>
    <row r="137" spans="1:8">
      <c r="A137" s="455"/>
      <c r="B137" s="138"/>
      <c r="C137" s="438" t="s">
        <v>838</v>
      </c>
      <c r="D137" s="13"/>
      <c r="E137" s="458"/>
      <c r="F137" s="392">
        <f>SUM(F134:F136)</f>
        <v>1502200</v>
      </c>
      <c r="G137" s="392">
        <f>SUM(G134:G136)</f>
        <v>1502200</v>
      </c>
      <c r="H137" s="430"/>
    </row>
    <row r="138" spans="1:8">
      <c r="A138" s="455"/>
      <c r="B138" s="431" t="s">
        <v>36</v>
      </c>
      <c r="C138" s="139"/>
      <c r="D138" s="438"/>
      <c r="E138" s="458"/>
      <c r="F138" s="478"/>
      <c r="G138" s="100"/>
      <c r="H138" s="430"/>
    </row>
    <row r="139" spans="1:8" s="13" customFormat="1" ht="15.75">
      <c r="A139" s="455"/>
      <c r="B139" s="138"/>
      <c r="C139" s="139" t="s">
        <v>36</v>
      </c>
      <c r="D139" s="139"/>
      <c r="E139" s="145"/>
      <c r="F139" s="470">
        <f>+TB!C128-TB!E129</f>
        <v>986213.8</v>
      </c>
      <c r="G139" s="574">
        <v>995609.80000000028</v>
      </c>
      <c r="H139" s="140"/>
    </row>
    <row r="140" spans="1:8">
      <c r="A140" s="455"/>
      <c r="B140" s="138"/>
      <c r="C140" s="139" t="s">
        <v>839</v>
      </c>
      <c r="D140" s="13"/>
      <c r="E140" s="458"/>
      <c r="F140" s="479">
        <f>SUM(F139)</f>
        <v>986213.8</v>
      </c>
      <c r="G140" s="479">
        <f>SUM(G139)</f>
        <v>995609.80000000028</v>
      </c>
      <c r="H140" s="430"/>
    </row>
    <row r="141" spans="1:8" hidden="1">
      <c r="A141" s="455"/>
      <c r="B141" s="138" t="s">
        <v>840</v>
      </c>
      <c r="C141" s="139"/>
      <c r="D141" s="139"/>
      <c r="E141" s="458"/>
      <c r="F141" s="480"/>
      <c r="G141" s="100"/>
      <c r="H141" s="430"/>
    </row>
    <row r="142" spans="1:8" hidden="1">
      <c r="A142" s="455"/>
      <c r="B142" s="138"/>
      <c r="C142" s="142"/>
      <c r="D142" s="139" t="s">
        <v>598</v>
      </c>
      <c r="E142" s="458"/>
      <c r="F142" s="107">
        <f>+TB!C130</f>
        <v>0</v>
      </c>
      <c r="G142" s="451">
        <v>0</v>
      </c>
      <c r="H142" s="430"/>
    </row>
    <row r="143" spans="1:8" hidden="1">
      <c r="A143" s="455"/>
      <c r="B143" s="138"/>
      <c r="C143" s="142"/>
      <c r="D143" s="139" t="s">
        <v>599</v>
      </c>
      <c r="E143" s="458"/>
      <c r="F143" s="107">
        <f>+TB!C131</f>
        <v>0</v>
      </c>
      <c r="G143" s="451">
        <v>0</v>
      </c>
      <c r="H143" s="430"/>
    </row>
    <row r="144" spans="1:8" hidden="1">
      <c r="A144" s="455"/>
      <c r="B144" s="138"/>
      <c r="C144" s="142"/>
      <c r="D144" s="139" t="s">
        <v>600</v>
      </c>
      <c r="E144" s="458"/>
      <c r="F144" s="107">
        <f>+TB!C132</f>
        <v>0</v>
      </c>
      <c r="G144" s="451">
        <v>0</v>
      </c>
      <c r="H144" s="430"/>
    </row>
    <row r="145" spans="1:8" hidden="1">
      <c r="A145" s="455"/>
      <c r="B145" s="138"/>
      <c r="C145" s="142"/>
      <c r="D145" s="139" t="s">
        <v>37</v>
      </c>
      <c r="E145" s="458"/>
      <c r="F145" s="107">
        <f>+TB!C133</f>
        <v>0</v>
      </c>
      <c r="G145" s="451">
        <v>0</v>
      </c>
      <c r="H145" s="430"/>
    </row>
    <row r="146" spans="1:8" hidden="1">
      <c r="A146" s="455"/>
      <c r="B146" s="138"/>
      <c r="C146" s="142"/>
      <c r="D146" s="139" t="s">
        <v>601</v>
      </c>
      <c r="E146" s="458"/>
      <c r="F146" s="107">
        <f>+TB!C134</f>
        <v>0</v>
      </c>
      <c r="G146" s="451">
        <v>0</v>
      </c>
      <c r="H146" s="430"/>
    </row>
    <row r="147" spans="1:8" hidden="1">
      <c r="A147" s="455"/>
      <c r="B147" s="138"/>
      <c r="C147" s="142"/>
      <c r="D147" s="139" t="s">
        <v>602</v>
      </c>
      <c r="E147" s="458"/>
      <c r="F147" s="107">
        <f>+TB!C135</f>
        <v>0</v>
      </c>
      <c r="G147" s="451">
        <v>0</v>
      </c>
      <c r="H147" s="430"/>
    </row>
    <row r="148" spans="1:8" hidden="1">
      <c r="A148" s="455"/>
      <c r="B148" s="138"/>
      <c r="C148" s="142"/>
      <c r="D148" s="139" t="s">
        <v>603</v>
      </c>
      <c r="E148" s="458"/>
      <c r="F148" s="107">
        <f>+TB!C136</f>
        <v>0</v>
      </c>
      <c r="G148" s="451">
        <v>0</v>
      </c>
      <c r="H148" s="430"/>
    </row>
    <row r="149" spans="1:8" hidden="1">
      <c r="A149" s="455"/>
      <c r="B149" s="138"/>
      <c r="C149" s="142"/>
      <c r="D149" s="139" t="s">
        <v>604</v>
      </c>
      <c r="E149" s="458"/>
      <c r="F149" s="107">
        <f>+TB!C137</f>
        <v>0</v>
      </c>
      <c r="G149" s="451">
        <v>0</v>
      </c>
      <c r="H149" s="430"/>
    </row>
    <row r="150" spans="1:8" hidden="1">
      <c r="A150" s="455"/>
      <c r="B150" s="138"/>
      <c r="C150" s="438" t="s">
        <v>841</v>
      </c>
      <c r="D150" s="13"/>
      <c r="E150" s="458"/>
      <c r="F150" s="477">
        <f>SUM(F142:F149)</f>
        <v>0</v>
      </c>
      <c r="G150" s="477">
        <f>SUM(G142:G149)</f>
        <v>0</v>
      </c>
      <c r="H150" s="430"/>
    </row>
    <row r="151" spans="1:8" hidden="1">
      <c r="A151" s="455"/>
      <c r="B151" s="138" t="s">
        <v>842</v>
      </c>
      <c r="C151" s="438"/>
      <c r="D151" s="13"/>
      <c r="E151" s="458"/>
      <c r="F151" s="107"/>
      <c r="G151" s="451"/>
      <c r="H151" s="430"/>
    </row>
    <row r="152" spans="1:8" hidden="1">
      <c r="A152" s="455"/>
      <c r="B152" s="138"/>
      <c r="C152" s="438"/>
      <c r="D152" s="13" t="s">
        <v>605</v>
      </c>
      <c r="E152" s="458"/>
      <c r="F152" s="107">
        <f>+TB!C138</f>
        <v>0</v>
      </c>
      <c r="G152" s="451">
        <v>0</v>
      </c>
      <c r="H152" s="430"/>
    </row>
    <row r="153" spans="1:8" hidden="1">
      <c r="A153" s="455"/>
      <c r="B153" s="138"/>
      <c r="C153" s="438"/>
      <c r="D153" s="13" t="s">
        <v>606</v>
      </c>
      <c r="E153" s="458"/>
      <c r="F153" s="107">
        <f>+TB!C139</f>
        <v>0</v>
      </c>
      <c r="G153" s="451">
        <v>0</v>
      </c>
      <c r="H153" s="430"/>
    </row>
    <row r="154" spans="1:8" hidden="1">
      <c r="A154" s="455"/>
      <c r="B154" s="138"/>
      <c r="C154" s="438" t="s">
        <v>843</v>
      </c>
      <c r="D154" s="13"/>
      <c r="E154" s="458"/>
      <c r="F154" s="477">
        <f>SUM(F152:F153)</f>
        <v>0</v>
      </c>
      <c r="G154" s="477">
        <f>SUM(G152:G153)</f>
        <v>0</v>
      </c>
      <c r="H154" s="430"/>
    </row>
    <row r="155" spans="1:8">
      <c r="A155" s="455"/>
      <c r="B155" s="138" t="s">
        <v>844</v>
      </c>
      <c r="C155" s="139"/>
      <c r="D155" s="438"/>
      <c r="E155" s="458"/>
      <c r="F155" s="107"/>
      <c r="G155" s="451"/>
      <c r="H155" s="430"/>
    </row>
    <row r="156" spans="1:8">
      <c r="A156" s="459"/>
      <c r="B156" s="138"/>
      <c r="C156" s="139" t="s">
        <v>349</v>
      </c>
      <c r="D156" s="13"/>
      <c r="E156" s="458"/>
      <c r="F156" s="107">
        <f>+TB!C140</f>
        <v>1418390.8900000006</v>
      </c>
      <c r="G156" s="451">
        <v>1149482.0899999999</v>
      </c>
      <c r="H156" s="430"/>
    </row>
    <row r="157" spans="1:8" hidden="1">
      <c r="A157" s="459"/>
      <c r="B157" s="138"/>
      <c r="C157" s="139" t="s">
        <v>845</v>
      </c>
      <c r="D157" s="13"/>
      <c r="E157" s="458"/>
      <c r="F157" s="107"/>
      <c r="G157" s="451"/>
      <c r="H157" s="430"/>
    </row>
    <row r="158" spans="1:8" hidden="1">
      <c r="A158" s="459"/>
      <c r="B158" s="138"/>
      <c r="C158" s="142"/>
      <c r="D158" s="139" t="s">
        <v>607</v>
      </c>
      <c r="E158" s="432"/>
      <c r="F158" s="425">
        <f>+TB!C141</f>
        <v>0</v>
      </c>
      <c r="G158" s="451">
        <v>0</v>
      </c>
      <c r="H158" s="430"/>
    </row>
    <row r="159" spans="1:8" hidden="1">
      <c r="A159" s="459"/>
      <c r="B159" s="138"/>
      <c r="C159" s="142"/>
      <c r="D159" s="139" t="s">
        <v>608</v>
      </c>
      <c r="E159" s="432"/>
      <c r="F159" s="425">
        <f>+TB!C142</f>
        <v>0</v>
      </c>
      <c r="G159" s="451">
        <v>0</v>
      </c>
      <c r="H159" s="430"/>
    </row>
    <row r="160" spans="1:8" hidden="1">
      <c r="A160" s="459"/>
      <c r="B160" s="138"/>
      <c r="C160" s="142"/>
      <c r="D160" s="139" t="s">
        <v>609</v>
      </c>
      <c r="E160" s="432"/>
      <c r="F160" s="425">
        <f>+TB!C143</f>
        <v>0</v>
      </c>
      <c r="G160" s="451">
        <v>0</v>
      </c>
      <c r="H160" s="430"/>
    </row>
    <row r="161" spans="1:9" ht="15.75" hidden="1">
      <c r="A161" s="459"/>
      <c r="B161" s="138"/>
      <c r="C161" s="142"/>
      <c r="D161" s="433" t="s">
        <v>610</v>
      </c>
      <c r="E161" s="434"/>
      <c r="F161" s="425">
        <f>+TB!C144</f>
        <v>0</v>
      </c>
      <c r="G161" s="451">
        <v>0</v>
      </c>
      <c r="H161" s="430"/>
    </row>
    <row r="162" spans="1:9" hidden="1">
      <c r="A162" s="459"/>
      <c r="B162" s="138"/>
      <c r="C162" s="142"/>
      <c r="D162" s="139" t="s">
        <v>611</v>
      </c>
      <c r="E162" s="458"/>
      <c r="F162" s="425">
        <f>+TB!C145</f>
        <v>0</v>
      </c>
      <c r="G162" s="451">
        <v>0</v>
      </c>
      <c r="H162" s="430"/>
    </row>
    <row r="163" spans="1:9" hidden="1">
      <c r="A163" s="459"/>
      <c r="B163" s="138"/>
      <c r="C163" s="142"/>
      <c r="D163" s="139" t="s">
        <v>612</v>
      </c>
      <c r="E163" s="458"/>
      <c r="F163" s="425">
        <f>+TB!C146</f>
        <v>0</v>
      </c>
      <c r="G163" s="451">
        <v>0</v>
      </c>
      <c r="H163" s="430"/>
    </row>
    <row r="164" spans="1:9" hidden="1">
      <c r="A164" s="459"/>
      <c r="B164" s="138"/>
      <c r="C164" s="142"/>
      <c r="D164" s="139" t="s">
        <v>613</v>
      </c>
      <c r="E164" s="458"/>
      <c r="F164" s="425">
        <f>+TB!C147</f>
        <v>0</v>
      </c>
      <c r="G164" s="451">
        <v>0</v>
      </c>
      <c r="H164" s="430"/>
    </row>
    <row r="165" spans="1:9" hidden="1">
      <c r="A165" s="455"/>
      <c r="B165" s="138"/>
      <c r="C165" s="142"/>
      <c r="D165" s="139" t="s">
        <v>614</v>
      </c>
      <c r="E165" s="458"/>
      <c r="F165" s="425">
        <f>+TB!C148</f>
        <v>0</v>
      </c>
      <c r="G165" s="451">
        <v>0</v>
      </c>
      <c r="H165" s="430"/>
    </row>
    <row r="166" spans="1:9" hidden="1">
      <c r="A166" s="455"/>
      <c r="B166" s="138"/>
      <c r="C166" s="142"/>
      <c r="D166" s="139" t="s">
        <v>615</v>
      </c>
      <c r="E166" s="458"/>
      <c r="F166" s="425">
        <f>+TB!C149</f>
        <v>0</v>
      </c>
      <c r="G166" s="451">
        <v>0</v>
      </c>
      <c r="H166" s="430"/>
    </row>
    <row r="167" spans="1:9" hidden="1">
      <c r="A167" s="455"/>
      <c r="B167" s="138"/>
      <c r="C167" s="142"/>
      <c r="D167" s="139" t="s">
        <v>616</v>
      </c>
      <c r="E167" s="458"/>
      <c r="F167" s="425">
        <f>+TB!C150</f>
        <v>0</v>
      </c>
      <c r="G167" s="451">
        <v>0</v>
      </c>
      <c r="H167" s="430"/>
    </row>
    <row r="168" spans="1:9" ht="15.75">
      <c r="A168" s="459"/>
      <c r="B168" s="138"/>
      <c r="C168" s="438" t="s">
        <v>846</v>
      </c>
      <c r="D168" s="13"/>
      <c r="E168" s="434"/>
      <c r="F168" s="481">
        <f>SUM(F156:F167)</f>
        <v>1418390.8900000006</v>
      </c>
      <c r="G168" s="481">
        <f>SUM(G156:G167)</f>
        <v>1149482.0899999999</v>
      </c>
      <c r="H168" s="430"/>
    </row>
    <row r="169" spans="1:9">
      <c r="A169" s="459"/>
      <c r="B169" s="438" t="s">
        <v>227</v>
      </c>
      <c r="C169" s="138"/>
      <c r="D169" s="146"/>
      <c r="E169" s="137"/>
      <c r="F169" s="482">
        <f>+F168+F150+F140+F137+F132+F119+F108+F101</f>
        <v>53746290.549999997</v>
      </c>
      <c r="G169" s="482">
        <f>+G168+G150+G140+G137+G132+G119+G108+G101</f>
        <v>48565642.840000004</v>
      </c>
    </row>
    <row r="170" spans="1:9" ht="15.75">
      <c r="A170" s="457" t="s">
        <v>621</v>
      </c>
      <c r="B170" s="142"/>
      <c r="C170" s="438"/>
      <c r="D170" s="13"/>
      <c r="E170" s="434"/>
      <c r="F170" s="483"/>
      <c r="G170" s="460"/>
      <c r="H170" s="435"/>
      <c r="I170" s="430"/>
    </row>
    <row r="171" spans="1:9" ht="15.75" hidden="1">
      <c r="A171" s="459"/>
      <c r="B171" s="105" t="s">
        <v>617</v>
      </c>
      <c r="C171" s="142"/>
      <c r="D171" s="13"/>
      <c r="E171" s="434"/>
      <c r="F171" s="425">
        <f>+TB!C151</f>
        <v>0</v>
      </c>
      <c r="G171" s="460">
        <v>0</v>
      </c>
      <c r="H171" s="435"/>
      <c r="I171" s="430"/>
    </row>
    <row r="172" spans="1:9" ht="15.75" hidden="1">
      <c r="A172" s="459"/>
      <c r="B172" s="105" t="s">
        <v>618</v>
      </c>
      <c r="C172" s="142"/>
      <c r="D172" s="13"/>
      <c r="E172" s="434"/>
      <c r="F172" s="425">
        <f>+TB!C152</f>
        <v>0</v>
      </c>
      <c r="G172" s="460">
        <v>0</v>
      </c>
      <c r="H172" s="435"/>
      <c r="I172" s="430"/>
    </row>
    <row r="173" spans="1:9" ht="15.75" hidden="1">
      <c r="A173" s="459"/>
      <c r="B173" s="105" t="s">
        <v>619</v>
      </c>
      <c r="C173" s="142"/>
      <c r="D173" s="13"/>
      <c r="E173" s="434"/>
      <c r="F173" s="425">
        <f>+TB!C153</f>
        <v>0</v>
      </c>
      <c r="G173" s="460">
        <v>0</v>
      </c>
      <c r="H173" s="435"/>
      <c r="I173" s="430"/>
    </row>
    <row r="174" spans="1:9" ht="15.75" hidden="1">
      <c r="A174" s="459"/>
      <c r="B174" s="105" t="s">
        <v>620</v>
      </c>
      <c r="C174" s="142"/>
      <c r="D174" s="13"/>
      <c r="E174" s="434"/>
      <c r="F174" s="425">
        <f>+TB!C154</f>
        <v>0</v>
      </c>
      <c r="G174" s="460">
        <v>0</v>
      </c>
      <c r="H174" s="435"/>
      <c r="I174" s="430"/>
    </row>
    <row r="175" spans="1:9" ht="15.75">
      <c r="A175" s="459"/>
      <c r="B175" s="105" t="s">
        <v>621</v>
      </c>
      <c r="C175" s="142"/>
      <c r="D175" s="13"/>
      <c r="E175" s="434"/>
      <c r="F175" s="425">
        <f>+TB!C155</f>
        <v>173706</v>
      </c>
      <c r="G175" s="460">
        <v>173706</v>
      </c>
      <c r="H175" s="435"/>
      <c r="I175" s="430"/>
    </row>
    <row r="176" spans="1:9" ht="15.75">
      <c r="A176" s="459"/>
      <c r="B176" s="105" t="s">
        <v>847</v>
      </c>
      <c r="C176" s="142"/>
      <c r="D176" s="13"/>
      <c r="E176" s="434"/>
      <c r="F176" s="481">
        <f>SUM(F171:F175)</f>
        <v>173706</v>
      </c>
      <c r="G176" s="481">
        <f>SUM(G171:G175)</f>
        <v>173706</v>
      </c>
      <c r="H176" s="435"/>
      <c r="I176" s="430"/>
    </row>
    <row r="177" spans="1:10" ht="13.5" thickBot="1">
      <c r="A177" s="457" t="s">
        <v>848</v>
      </c>
      <c r="B177" s="138"/>
      <c r="C177" s="138"/>
      <c r="D177" s="137"/>
      <c r="E177" s="137"/>
      <c r="F177" s="484">
        <f>+F169+F88+F176</f>
        <v>213014705.85999995</v>
      </c>
      <c r="G177" s="484">
        <f>+G169+G88+G176</f>
        <v>177029684.59</v>
      </c>
      <c r="H177" s="154"/>
      <c r="I177" s="8"/>
    </row>
    <row r="178" spans="1:10" s="13" customFormat="1" ht="13.5" thickTop="1">
      <c r="A178" s="461"/>
      <c r="B178" s="418"/>
      <c r="C178" s="418"/>
      <c r="D178" s="418"/>
      <c r="E178" s="418"/>
      <c r="F178" s="485"/>
      <c r="G178" s="462"/>
      <c r="H178" s="147"/>
    </row>
    <row r="179" spans="1:10" s="13" customFormat="1">
      <c r="A179" s="457" t="s">
        <v>228</v>
      </c>
      <c r="B179" s="138"/>
      <c r="C179" s="137"/>
      <c r="D179" s="137"/>
      <c r="E179" s="137"/>
      <c r="F179" s="472"/>
      <c r="G179" s="456"/>
      <c r="H179" s="140"/>
    </row>
    <row r="180" spans="1:10" s="13" customFormat="1">
      <c r="A180" s="455"/>
      <c r="B180" s="138" t="s">
        <v>229</v>
      </c>
      <c r="C180" s="137"/>
      <c r="D180" s="137"/>
      <c r="E180" s="137"/>
      <c r="F180" s="472"/>
      <c r="G180" s="462"/>
      <c r="H180" s="147"/>
    </row>
    <row r="181" spans="1:10">
      <c r="A181" s="455"/>
      <c r="B181" s="138"/>
      <c r="C181" s="138" t="s">
        <v>849</v>
      </c>
      <c r="D181" s="137"/>
      <c r="E181" s="137"/>
      <c r="F181" s="472"/>
      <c r="G181" s="462"/>
      <c r="H181" s="437"/>
      <c r="I181" s="436"/>
    </row>
    <row r="182" spans="1:10" s="13" customFormat="1">
      <c r="A182" s="455"/>
      <c r="B182" s="138"/>
      <c r="D182" s="148" t="s">
        <v>38</v>
      </c>
      <c r="E182" s="137"/>
      <c r="F182" s="425">
        <f>+TB!E156</f>
        <v>246650.0000000007</v>
      </c>
      <c r="G182" s="454">
        <v>1376767.4900000007</v>
      </c>
      <c r="H182" s="140"/>
    </row>
    <row r="183" spans="1:10" hidden="1">
      <c r="A183" s="455"/>
      <c r="B183" s="138"/>
      <c r="C183" s="138"/>
      <c r="D183" s="139" t="s">
        <v>622</v>
      </c>
      <c r="E183" s="137"/>
      <c r="F183" s="425">
        <f>+TB!E157</f>
        <v>0</v>
      </c>
      <c r="G183" s="454">
        <v>0</v>
      </c>
      <c r="H183" s="140"/>
      <c r="I183" s="430"/>
    </row>
    <row r="184" spans="1:10" s="13" customFormat="1">
      <c r="A184" s="455"/>
      <c r="B184" s="138"/>
      <c r="D184" s="148" t="s">
        <v>39</v>
      </c>
      <c r="E184" s="137"/>
      <c r="F184" s="425">
        <f>+TB!E158</f>
        <v>235063.82999999967</v>
      </c>
      <c r="G184" s="454">
        <v>701905.11999999965</v>
      </c>
      <c r="H184" s="140"/>
    </row>
    <row r="185" spans="1:10" hidden="1">
      <c r="A185" s="455"/>
      <c r="B185" s="138"/>
      <c r="C185" s="138"/>
      <c r="D185" s="139" t="s">
        <v>623</v>
      </c>
      <c r="E185" s="137"/>
      <c r="F185" s="425">
        <f>+TB!E159</f>
        <v>0</v>
      </c>
      <c r="G185" s="454">
        <v>0</v>
      </c>
      <c r="H185" s="140"/>
      <c r="I185" s="430"/>
    </row>
    <row r="186" spans="1:10">
      <c r="A186" s="455"/>
      <c r="B186" s="138"/>
      <c r="C186" s="138" t="s">
        <v>850</v>
      </c>
      <c r="D186" s="438"/>
      <c r="E186" s="137"/>
      <c r="F186" s="425"/>
      <c r="G186" s="454"/>
      <c r="H186" s="140"/>
      <c r="I186" s="430"/>
    </row>
    <row r="187" spans="1:10" s="13" customFormat="1">
      <c r="A187" s="455"/>
      <c r="B187" s="138"/>
      <c r="D187" s="148" t="s">
        <v>40</v>
      </c>
      <c r="E187" s="137"/>
      <c r="F187" s="425">
        <f>+TB!E160</f>
        <v>375764.84000000032</v>
      </c>
      <c r="G187" s="454">
        <v>211777.42000000039</v>
      </c>
      <c r="H187" s="140"/>
    </row>
    <row r="188" spans="1:10" s="13" customFormat="1">
      <c r="A188" s="455"/>
      <c r="B188" s="138"/>
      <c r="D188" s="148" t="s">
        <v>41</v>
      </c>
      <c r="E188" s="137"/>
      <c r="F188" s="425">
        <f>+TB!E161</f>
        <v>1752197.2700000014</v>
      </c>
      <c r="G188" s="454">
        <v>2318359.0000000009</v>
      </c>
      <c r="H188" s="140"/>
    </row>
    <row r="189" spans="1:10" s="13" customFormat="1">
      <c r="A189" s="455"/>
      <c r="B189" s="138"/>
      <c r="D189" s="148" t="s">
        <v>42</v>
      </c>
      <c r="E189" s="137"/>
      <c r="F189" s="425">
        <f>+TB!E162</f>
        <v>60088.530000000028</v>
      </c>
      <c r="G189" s="454">
        <v>61881.5</v>
      </c>
      <c r="H189" s="140"/>
      <c r="J189" s="16"/>
    </row>
    <row r="190" spans="1:10" s="13" customFormat="1">
      <c r="A190" s="455"/>
      <c r="B190" s="138"/>
      <c r="D190" s="148" t="s">
        <v>43</v>
      </c>
      <c r="E190" s="137"/>
      <c r="F190" s="425">
        <f>+TB!E163</f>
        <v>886513.75</v>
      </c>
      <c r="G190" s="454">
        <v>826288.75</v>
      </c>
      <c r="H190" s="140"/>
    </row>
    <row r="191" spans="1:10" hidden="1">
      <c r="A191" s="455"/>
      <c r="B191" s="138"/>
      <c r="C191" s="138"/>
      <c r="D191" s="139" t="s">
        <v>851</v>
      </c>
      <c r="E191" s="137"/>
      <c r="F191" s="425">
        <f>+TB!E164</f>
        <v>0</v>
      </c>
      <c r="G191" s="454">
        <v>0</v>
      </c>
      <c r="H191" s="140"/>
      <c r="I191" s="430"/>
    </row>
    <row r="192" spans="1:10" s="13" customFormat="1" hidden="1">
      <c r="A192" s="455"/>
      <c r="B192" s="138"/>
      <c r="D192" s="148" t="s">
        <v>93</v>
      </c>
      <c r="E192" s="137"/>
      <c r="F192" s="425">
        <f>+TB!E165</f>
        <v>0</v>
      </c>
      <c r="G192" s="454">
        <v>0</v>
      </c>
      <c r="H192" s="140"/>
    </row>
    <row r="193" spans="1:9" hidden="1">
      <c r="A193" s="455"/>
      <c r="B193" s="138"/>
      <c r="C193" s="138"/>
      <c r="D193" s="139" t="s">
        <v>624</v>
      </c>
      <c r="E193" s="137"/>
      <c r="F193" s="425">
        <f>+TB!E166</f>
        <v>0</v>
      </c>
      <c r="G193" s="454">
        <v>0</v>
      </c>
      <c r="H193" s="140"/>
      <c r="I193" s="430"/>
    </row>
    <row r="194" spans="1:9">
      <c r="A194" s="455"/>
      <c r="B194" s="138"/>
      <c r="C194" s="138" t="s">
        <v>852</v>
      </c>
      <c r="D194" s="438"/>
      <c r="E194" s="137"/>
      <c r="F194" s="107"/>
      <c r="G194" s="454"/>
      <c r="H194" s="140"/>
      <c r="I194" s="430"/>
    </row>
    <row r="195" spans="1:9" s="13" customFormat="1">
      <c r="A195" s="455"/>
      <c r="B195" s="138"/>
      <c r="D195" s="148" t="s">
        <v>44</v>
      </c>
      <c r="E195" s="137"/>
      <c r="F195" s="425">
        <f>+TB!E167</f>
        <v>19597.330000000016</v>
      </c>
      <c r="G195" s="454">
        <v>160997.59999999998</v>
      </c>
      <c r="H195" s="140"/>
    </row>
    <row r="196" spans="1:9">
      <c r="A196" s="455"/>
      <c r="B196" s="138"/>
      <c r="C196" s="138" t="s">
        <v>853</v>
      </c>
      <c r="D196" s="139"/>
      <c r="E196" s="137"/>
      <c r="F196" s="107"/>
      <c r="G196" s="454"/>
      <c r="H196" s="140"/>
      <c r="I196" s="430"/>
    </row>
    <row r="197" spans="1:9" s="13" customFormat="1">
      <c r="A197" s="455"/>
      <c r="B197" s="138"/>
      <c r="D197" s="148" t="s">
        <v>45</v>
      </c>
      <c r="E197" s="137"/>
      <c r="F197" s="425">
        <f>+TB!E168</f>
        <v>225805.13000000006</v>
      </c>
      <c r="G197" s="454">
        <v>202673.99000000002</v>
      </c>
      <c r="H197" s="140"/>
    </row>
    <row r="198" spans="1:9" hidden="1">
      <c r="A198" s="455"/>
      <c r="B198" s="138"/>
      <c r="C198" s="138"/>
      <c r="D198" s="139" t="s">
        <v>625</v>
      </c>
      <c r="E198" s="137"/>
      <c r="F198" s="425">
        <f>+TB!E169</f>
        <v>0</v>
      </c>
      <c r="G198" s="454">
        <v>0</v>
      </c>
      <c r="H198" s="140"/>
      <c r="I198" s="430"/>
    </row>
    <row r="199" spans="1:9" hidden="1">
      <c r="A199" s="455"/>
      <c r="B199" s="138"/>
      <c r="C199" s="138"/>
      <c r="D199" s="139" t="s">
        <v>626</v>
      </c>
      <c r="E199" s="137"/>
      <c r="F199" s="425">
        <f>+TB!E170</f>
        <v>0</v>
      </c>
      <c r="G199" s="454">
        <v>0</v>
      </c>
      <c r="H199" s="140"/>
      <c r="I199" s="430"/>
    </row>
    <row r="200" spans="1:9" s="13" customFormat="1">
      <c r="A200" s="455"/>
      <c r="B200" s="138"/>
      <c r="D200" s="148" t="s">
        <v>46</v>
      </c>
      <c r="E200" s="137"/>
      <c r="F200" s="425">
        <f>+TB!E171</f>
        <v>58050</v>
      </c>
      <c r="G200" s="574">
        <v>445543.48</v>
      </c>
      <c r="H200" s="140"/>
    </row>
    <row r="201" spans="1:9" s="13" customFormat="1">
      <c r="A201" s="455"/>
      <c r="C201" s="138" t="s">
        <v>230</v>
      </c>
      <c r="D201" s="148"/>
      <c r="E201" s="137"/>
      <c r="F201" s="638">
        <f>SUM(F182:F200)</f>
        <v>3859730.6800000025</v>
      </c>
      <c r="G201" s="638">
        <f>SUM(G182:G200)</f>
        <v>6306194.3500000015</v>
      </c>
      <c r="H201" s="140"/>
    </row>
    <row r="202" spans="1:9" hidden="1">
      <c r="A202" s="455"/>
      <c r="B202" s="142" t="s">
        <v>854</v>
      </c>
      <c r="C202" s="138"/>
      <c r="D202" s="137"/>
      <c r="E202" s="137"/>
      <c r="F202" s="472"/>
      <c r="G202" s="451"/>
      <c r="H202" s="429"/>
      <c r="I202" s="430"/>
    </row>
    <row r="203" spans="1:9" hidden="1">
      <c r="A203" s="455"/>
      <c r="B203" s="142"/>
      <c r="C203" s="138" t="s">
        <v>855</v>
      </c>
      <c r="D203" s="137"/>
      <c r="E203" s="137"/>
      <c r="F203" s="472"/>
      <c r="G203" s="451"/>
      <c r="H203" s="429"/>
      <c r="I203" s="430"/>
    </row>
    <row r="204" spans="1:9" hidden="1">
      <c r="A204" s="455"/>
      <c r="B204" s="138"/>
      <c r="C204" s="138"/>
      <c r="D204" s="438" t="s">
        <v>627</v>
      </c>
      <c r="E204" s="137"/>
      <c r="F204" s="425">
        <f>+TB!E172</f>
        <v>0</v>
      </c>
      <c r="G204" s="577">
        <v>0</v>
      </c>
      <c r="H204" s="429"/>
      <c r="I204" s="430"/>
    </row>
    <row r="205" spans="1:9" hidden="1">
      <c r="A205" s="455"/>
      <c r="B205" s="138"/>
      <c r="C205" s="138"/>
      <c r="D205" s="105" t="s">
        <v>628</v>
      </c>
      <c r="E205" s="137"/>
      <c r="F205" s="425">
        <f>+TB!E173</f>
        <v>0</v>
      </c>
      <c r="G205" s="577">
        <v>0</v>
      </c>
      <c r="H205" s="429"/>
      <c r="I205" s="430"/>
    </row>
    <row r="206" spans="1:9" hidden="1">
      <c r="A206" s="455"/>
      <c r="B206" s="138"/>
      <c r="C206" s="138"/>
      <c r="D206" s="105" t="s">
        <v>629</v>
      </c>
      <c r="E206" s="137"/>
      <c r="F206" s="425">
        <f>+TB!E174</f>
        <v>0</v>
      </c>
      <c r="G206" s="577">
        <v>0</v>
      </c>
      <c r="H206" s="429"/>
      <c r="I206" s="430"/>
    </row>
    <row r="207" spans="1:9" hidden="1">
      <c r="A207" s="455"/>
      <c r="B207" s="138"/>
      <c r="C207" s="138"/>
      <c r="D207" s="105" t="s">
        <v>630</v>
      </c>
      <c r="E207" s="137"/>
      <c r="F207" s="425">
        <f>+TB!E175</f>
        <v>0</v>
      </c>
      <c r="G207" s="577">
        <v>0</v>
      </c>
      <c r="H207" s="429"/>
      <c r="I207" s="430"/>
    </row>
    <row r="208" spans="1:9" hidden="1">
      <c r="A208" s="455"/>
      <c r="B208" s="138"/>
      <c r="C208" s="138"/>
      <c r="D208" s="105" t="s">
        <v>631</v>
      </c>
      <c r="E208" s="137"/>
      <c r="F208" s="425">
        <f>+TB!E176</f>
        <v>0</v>
      </c>
      <c r="G208" s="577">
        <v>0</v>
      </c>
      <c r="H208" s="429"/>
      <c r="I208" s="430"/>
    </row>
    <row r="209" spans="1:11" hidden="1">
      <c r="A209" s="455"/>
      <c r="B209" s="138"/>
      <c r="C209" s="138"/>
      <c r="D209" s="438" t="s">
        <v>856</v>
      </c>
      <c r="E209" s="137"/>
      <c r="F209" s="425">
        <f>+TB!E177</f>
        <v>0</v>
      </c>
      <c r="G209" s="577">
        <v>0</v>
      </c>
      <c r="H209" s="429"/>
      <c r="I209" s="430"/>
    </row>
    <row r="210" spans="1:11" hidden="1">
      <c r="A210" s="455"/>
      <c r="B210" s="138"/>
      <c r="C210" s="438" t="s">
        <v>857</v>
      </c>
      <c r="D210" s="13"/>
      <c r="E210" s="137"/>
      <c r="F210" s="473">
        <f>SUM(F204:F209)</f>
        <v>0</v>
      </c>
      <c r="G210" s="473">
        <f>SUM(G204:G209)</f>
        <v>0</v>
      </c>
      <c r="H210" s="429"/>
      <c r="I210" s="430"/>
    </row>
    <row r="211" spans="1:11">
      <c r="A211" s="455"/>
      <c r="B211" s="142"/>
      <c r="C211" s="138" t="s">
        <v>232</v>
      </c>
      <c r="D211" s="438"/>
      <c r="E211" s="137"/>
      <c r="F211" s="486">
        <f>+F210+F201</f>
        <v>3859730.6800000025</v>
      </c>
      <c r="G211" s="486">
        <f>+G210+G201</f>
        <v>6306194.3500000015</v>
      </c>
      <c r="H211" s="429"/>
      <c r="I211" s="430"/>
    </row>
    <row r="212" spans="1:11" s="13" customFormat="1">
      <c r="A212" s="455"/>
      <c r="B212" s="138" t="s">
        <v>231</v>
      </c>
      <c r="C212" s="137"/>
      <c r="D212" s="137"/>
      <c r="E212" s="137"/>
      <c r="F212" s="472"/>
      <c r="G212" s="463"/>
      <c r="H212" s="140"/>
    </row>
    <row r="213" spans="1:11" s="13" customFormat="1" hidden="1">
      <c r="A213" s="455"/>
      <c r="B213" s="138"/>
      <c r="C213" s="13" t="s">
        <v>633</v>
      </c>
      <c r="D213" s="137"/>
      <c r="E213" s="137"/>
      <c r="F213" s="425">
        <f>+TB!E178</f>
        <v>0</v>
      </c>
      <c r="G213" s="577">
        <v>0</v>
      </c>
      <c r="H213" s="346"/>
      <c r="I213" s="140"/>
    </row>
    <row r="214" spans="1:11" s="13" customFormat="1">
      <c r="A214" s="455"/>
      <c r="B214" s="138"/>
      <c r="C214" s="139" t="s">
        <v>168</v>
      </c>
      <c r="D214" s="139"/>
      <c r="E214" s="137"/>
      <c r="F214" s="425">
        <f>+TB!E179</f>
        <v>11864007.116899967</v>
      </c>
      <c r="G214" s="577">
        <v>2766534.4599999785</v>
      </c>
      <c r="H214" s="140"/>
    </row>
    <row r="215" spans="1:11" s="13" customFormat="1">
      <c r="A215" s="455"/>
      <c r="B215" s="138"/>
      <c r="C215" s="139" t="s">
        <v>47</v>
      </c>
      <c r="D215" s="139"/>
      <c r="E215" s="137"/>
      <c r="F215" s="425">
        <f>+TB!E180</f>
        <v>24361059.779999994</v>
      </c>
      <c r="G215" s="577">
        <v>24094571.229999993</v>
      </c>
      <c r="H215" s="140"/>
    </row>
    <row r="216" spans="1:11">
      <c r="A216" s="455"/>
      <c r="B216" s="138"/>
      <c r="C216" s="438" t="s">
        <v>858</v>
      </c>
      <c r="D216" s="13"/>
      <c r="E216" s="137"/>
      <c r="F216" s="473">
        <f>SUM(F213:F215)</f>
        <v>36225066.896899961</v>
      </c>
      <c r="G216" s="473">
        <f>SUM(G213:G215)</f>
        <v>26861105.689999972</v>
      </c>
      <c r="H216" s="429"/>
      <c r="I216" s="430"/>
    </row>
    <row r="217" spans="1:11">
      <c r="A217" s="457" t="s">
        <v>233</v>
      </c>
      <c r="B217" s="138"/>
      <c r="C217" s="138"/>
      <c r="D217" s="137"/>
      <c r="E217" s="137"/>
      <c r="F217" s="472"/>
      <c r="G217" s="463"/>
      <c r="H217" s="154"/>
      <c r="I217" s="8"/>
      <c r="J217" s="7"/>
      <c r="K217" s="7"/>
    </row>
    <row r="218" spans="1:11" s="13" customFormat="1">
      <c r="A218" s="455"/>
      <c r="B218" s="149"/>
      <c r="C218" s="137"/>
      <c r="D218" s="438" t="s">
        <v>859</v>
      </c>
      <c r="E218" s="150"/>
      <c r="F218" s="365">
        <v>143862384.54999998</v>
      </c>
      <c r="G218" s="575">
        <v>120021178.98999998</v>
      </c>
      <c r="H218" s="12"/>
    </row>
    <row r="219" spans="1:11">
      <c r="A219" s="455"/>
      <c r="B219" s="149"/>
      <c r="C219" s="137"/>
      <c r="D219" s="438" t="s">
        <v>860</v>
      </c>
      <c r="E219" s="150"/>
      <c r="F219" s="450"/>
      <c r="G219" s="454"/>
    </row>
    <row r="220" spans="1:11">
      <c r="A220" s="455"/>
      <c r="B220" s="149"/>
      <c r="C220" s="13"/>
      <c r="D220" s="438" t="s">
        <v>861</v>
      </c>
      <c r="E220" s="150"/>
      <c r="F220" s="510">
        <f>SUM(F218:F219)</f>
        <v>143862384.54999998</v>
      </c>
      <c r="G220" s="510">
        <f>SUM(G218:G219)</f>
        <v>120021178.98999998</v>
      </c>
      <c r="H220" s="197"/>
    </row>
    <row r="221" spans="1:11">
      <c r="A221" s="455"/>
      <c r="B221" s="149"/>
      <c r="C221" s="13"/>
      <c r="D221" s="438" t="s">
        <v>862</v>
      </c>
      <c r="E221" s="150"/>
      <c r="F221" s="425"/>
      <c r="G221" s="451"/>
      <c r="H221" s="197"/>
    </row>
    <row r="222" spans="1:11">
      <c r="A222" s="455"/>
      <c r="B222" s="149"/>
      <c r="C222" s="13"/>
      <c r="D222" s="13"/>
      <c r="E222" s="350" t="s">
        <v>863</v>
      </c>
      <c r="F222" s="425">
        <f>+IS!F306</f>
        <v>19201724.539999999</v>
      </c>
      <c r="G222" s="451">
        <f>+IS!G306</f>
        <v>12435645.890000008</v>
      </c>
      <c r="I222" s="8"/>
    </row>
    <row r="223" spans="1:11">
      <c r="A223" s="455"/>
      <c r="B223" s="149"/>
      <c r="C223" s="13"/>
      <c r="D223" s="13"/>
      <c r="E223" s="350" t="s">
        <v>449</v>
      </c>
      <c r="F223" s="425">
        <f>+TB!E256</f>
        <v>9865799.1899999995</v>
      </c>
      <c r="G223" s="451">
        <v>11405559.669999998</v>
      </c>
      <c r="I223" s="8"/>
    </row>
    <row r="224" spans="1:11" hidden="1">
      <c r="A224" s="455"/>
      <c r="B224" s="149"/>
      <c r="C224" s="13"/>
      <c r="D224" s="350" t="s">
        <v>864</v>
      </c>
      <c r="E224" s="13"/>
      <c r="F224" s="425"/>
      <c r="G224" s="451"/>
      <c r="I224" s="8"/>
    </row>
    <row r="225" spans="1:11" s="13" customFormat="1" hidden="1">
      <c r="A225" s="464"/>
      <c r="B225" s="149"/>
      <c r="C225" s="137"/>
      <c r="E225" s="350" t="s">
        <v>865</v>
      </c>
      <c r="F225" s="425">
        <v>0</v>
      </c>
      <c r="G225" s="451">
        <v>0</v>
      </c>
      <c r="H225" s="8"/>
      <c r="I225" s="8"/>
    </row>
    <row r="226" spans="1:11" s="13" customFormat="1" hidden="1">
      <c r="A226" s="465"/>
      <c r="B226" s="142"/>
      <c r="C226" s="150"/>
      <c r="E226" s="350" t="s">
        <v>866</v>
      </c>
      <c r="F226" s="425">
        <v>0</v>
      </c>
      <c r="G226" s="451">
        <v>0</v>
      </c>
      <c r="H226" s="8"/>
      <c r="I226" s="8"/>
    </row>
    <row r="227" spans="1:11" s="13" customFormat="1" hidden="1">
      <c r="A227" s="464"/>
      <c r="B227" s="142"/>
      <c r="C227" s="150"/>
      <c r="E227" s="13" t="s">
        <v>403</v>
      </c>
      <c r="F227" s="425"/>
      <c r="G227" s="451"/>
      <c r="H227" s="8"/>
      <c r="I227" s="8"/>
      <c r="J227" s="150"/>
    </row>
    <row r="228" spans="1:11">
      <c r="A228" s="464"/>
      <c r="B228" s="149"/>
      <c r="C228" s="149"/>
      <c r="D228" s="438" t="s">
        <v>1138</v>
      </c>
      <c r="E228" s="150"/>
      <c r="F228" s="487">
        <f>SUM(F220:F225)</f>
        <v>172929908.27999997</v>
      </c>
      <c r="G228" s="487">
        <f>SUM(G220:G225)</f>
        <v>143862384.54999998</v>
      </c>
      <c r="H228" s="154"/>
      <c r="I228" s="8"/>
    </row>
    <row r="229" spans="1:11" ht="13.5" thickBot="1">
      <c r="A229" s="466" t="s">
        <v>234</v>
      </c>
      <c r="B229" s="448"/>
      <c r="C229" s="448"/>
      <c r="D229" s="467"/>
      <c r="E229" s="14"/>
      <c r="F229" s="488">
        <f>+F228+F211+F216</f>
        <v>213014705.85689995</v>
      </c>
      <c r="G229" s="488">
        <f>+G228+G211+G216</f>
        <v>177029684.58999994</v>
      </c>
      <c r="H229" s="154"/>
      <c r="I229" s="8"/>
      <c r="J229" s="9">
        <f>+F229-F177</f>
        <v>-3.1000077724456787E-3</v>
      </c>
      <c r="K229" s="9">
        <f>+G229-G177</f>
        <v>0</v>
      </c>
    </row>
    <row r="230" spans="1:11" s="13" customFormat="1" ht="13.5" thickTop="1">
      <c r="B230" s="142"/>
      <c r="C230" s="150"/>
      <c r="D230" s="150"/>
      <c r="F230" s="12"/>
      <c r="G230" s="151"/>
      <c r="H230" s="12"/>
      <c r="J230" s="151"/>
    </row>
    <row r="231" spans="1:11" s="13" customFormat="1">
      <c r="B231" s="142"/>
      <c r="C231" s="150"/>
      <c r="D231" s="150"/>
      <c r="F231" s="12"/>
      <c r="G231" s="151"/>
      <c r="H231" s="12"/>
      <c r="J231" s="152"/>
    </row>
    <row r="232" spans="1:11" s="13" customFormat="1">
      <c r="B232" s="142"/>
      <c r="C232" s="150"/>
      <c r="D232" s="150"/>
      <c r="F232" s="12"/>
      <c r="G232" s="151"/>
      <c r="H232" s="12"/>
      <c r="J232" s="152"/>
    </row>
    <row r="233" spans="1:11" s="13" customFormat="1">
      <c r="B233" s="142"/>
      <c r="C233" s="150"/>
      <c r="D233" s="150"/>
      <c r="F233" s="12"/>
      <c r="G233" s="151"/>
      <c r="H233" s="12"/>
      <c r="J233" s="152"/>
    </row>
    <row r="234" spans="1:11" s="13" customFormat="1">
      <c r="B234" s="142"/>
      <c r="G234" s="11"/>
      <c r="H234" s="12"/>
      <c r="J234" s="150"/>
    </row>
    <row r="235" spans="1:11" s="13" customFormat="1">
      <c r="B235" s="142"/>
      <c r="G235" s="11"/>
      <c r="H235" s="12"/>
    </row>
    <row r="236" spans="1:11" s="13" customFormat="1">
      <c r="B236" s="142"/>
      <c r="G236" s="11"/>
      <c r="H236" s="12"/>
    </row>
    <row r="237" spans="1:11" s="13" customFormat="1">
      <c r="B237" s="142"/>
      <c r="G237" s="153"/>
      <c r="H237" s="12"/>
    </row>
    <row r="238" spans="1:11" s="13" customFormat="1">
      <c r="B238" s="142"/>
      <c r="G238" s="11"/>
      <c r="H238" s="12"/>
    </row>
    <row r="239" spans="1:11" s="13" customFormat="1">
      <c r="B239" s="142"/>
      <c r="G239" s="11"/>
      <c r="H239" s="12"/>
    </row>
    <row r="240" spans="1:11" s="13" customFormat="1">
      <c r="B240" s="142"/>
      <c r="G240" s="11"/>
      <c r="H240" s="12"/>
    </row>
    <row r="241" spans="2:8" s="13" customFormat="1">
      <c r="B241" s="142"/>
      <c r="G241" s="11"/>
      <c r="H241" s="12"/>
    </row>
    <row r="242" spans="2:8" s="13" customFormat="1">
      <c r="B242" s="142"/>
      <c r="F242" s="12"/>
      <c r="G242" s="11"/>
      <c r="H242" s="12"/>
    </row>
    <row r="243" spans="2:8" s="13" customFormat="1">
      <c r="B243" s="142"/>
      <c r="F243" s="12"/>
      <c r="G243" s="12"/>
      <c r="H243" s="12"/>
    </row>
    <row r="244" spans="2:8" s="13" customFormat="1">
      <c r="B244" s="142"/>
      <c r="F244" s="12"/>
      <c r="G244" s="12"/>
      <c r="H244" s="12"/>
    </row>
    <row r="245" spans="2:8" s="13" customFormat="1">
      <c r="B245" s="142"/>
      <c r="F245" s="12"/>
      <c r="G245" s="11"/>
      <c r="H245" s="12"/>
    </row>
    <row r="246" spans="2:8" s="13" customFormat="1">
      <c r="B246" s="142"/>
      <c r="F246" s="12"/>
      <c r="G246" s="12"/>
      <c r="H246" s="12"/>
    </row>
    <row r="247" spans="2:8" s="13" customFormat="1">
      <c r="B247" s="142"/>
      <c r="F247" s="12"/>
      <c r="G247" s="12"/>
      <c r="H247" s="12"/>
    </row>
    <row r="248" spans="2:8" s="13" customFormat="1">
      <c r="B248" s="142"/>
      <c r="F248" s="12"/>
      <c r="G248" s="12"/>
      <c r="H248" s="12"/>
    </row>
    <row r="249" spans="2:8" s="13" customFormat="1">
      <c r="B249" s="142"/>
      <c r="F249" s="12"/>
      <c r="G249" s="12"/>
      <c r="H249" s="12"/>
    </row>
    <row r="250" spans="2:8" s="13" customFormat="1">
      <c r="B250" s="142"/>
      <c r="F250" s="12"/>
      <c r="G250" s="12"/>
      <c r="H250" s="12"/>
    </row>
    <row r="251" spans="2:8" s="13" customFormat="1">
      <c r="B251" s="142"/>
      <c r="F251" s="12"/>
      <c r="G251" s="12"/>
      <c r="H251" s="12"/>
    </row>
    <row r="252" spans="2:8" s="13" customFormat="1">
      <c r="B252" s="142"/>
      <c r="F252" s="12"/>
      <c r="G252" s="12"/>
      <c r="H252" s="12"/>
    </row>
    <row r="253" spans="2:8" s="13" customFormat="1">
      <c r="B253" s="142"/>
      <c r="F253" s="12"/>
      <c r="G253" s="12"/>
      <c r="H253" s="12"/>
    </row>
    <row r="254" spans="2:8" s="13" customFormat="1">
      <c r="B254" s="142"/>
      <c r="F254" s="12"/>
      <c r="G254" s="12"/>
      <c r="H254" s="12"/>
    </row>
    <row r="255" spans="2:8" s="13" customFormat="1">
      <c r="B255" s="142"/>
      <c r="F255" s="12"/>
      <c r="G255" s="12"/>
      <c r="H255" s="12"/>
    </row>
    <row r="256" spans="2:8" s="13" customFormat="1">
      <c r="B256" s="142"/>
      <c r="F256" s="12"/>
      <c r="G256" s="12"/>
      <c r="H256" s="12"/>
    </row>
    <row r="257" spans="2:8" s="13" customFormat="1">
      <c r="B257" s="142"/>
      <c r="F257" s="12"/>
      <c r="G257" s="12"/>
      <c r="H257" s="12"/>
    </row>
    <row r="258" spans="2:8" s="13" customFormat="1">
      <c r="B258" s="142"/>
      <c r="F258" s="12"/>
      <c r="G258" s="12"/>
      <c r="H258" s="12"/>
    </row>
    <row r="259" spans="2:8" s="13" customFormat="1">
      <c r="B259" s="142"/>
      <c r="F259" s="12"/>
      <c r="G259" s="12"/>
      <c r="H259" s="12"/>
    </row>
    <row r="260" spans="2:8" s="13" customFormat="1">
      <c r="B260" s="142"/>
      <c r="F260" s="12"/>
      <c r="G260" s="12"/>
      <c r="H260" s="12"/>
    </row>
    <row r="261" spans="2:8" s="13" customFormat="1">
      <c r="B261" s="142"/>
      <c r="F261" s="12"/>
      <c r="G261" s="12"/>
      <c r="H261" s="12"/>
    </row>
    <row r="262" spans="2:8" s="13" customFormat="1">
      <c r="B262" s="142"/>
      <c r="F262" s="12"/>
      <c r="G262" s="12"/>
      <c r="H262" s="12"/>
    </row>
    <row r="263" spans="2:8" s="13" customFormat="1">
      <c r="B263" s="142"/>
      <c r="F263" s="12"/>
      <c r="G263" s="12"/>
      <c r="H263" s="12"/>
    </row>
    <row r="264" spans="2:8" s="13" customFormat="1">
      <c r="B264" s="142"/>
      <c r="F264" s="12"/>
      <c r="G264" s="12"/>
      <c r="H264" s="12"/>
    </row>
    <row r="265" spans="2:8" s="13" customFormat="1">
      <c r="B265" s="142"/>
      <c r="F265" s="12"/>
      <c r="G265" s="12"/>
      <c r="H265" s="12"/>
    </row>
    <row r="266" spans="2:8" s="13" customFormat="1">
      <c r="B266" s="142"/>
      <c r="F266" s="12"/>
      <c r="G266" s="12"/>
      <c r="H266" s="12"/>
    </row>
    <row r="267" spans="2:8" s="13" customFormat="1">
      <c r="B267" s="142"/>
      <c r="F267" s="12"/>
      <c r="G267" s="12"/>
      <c r="H267" s="12"/>
    </row>
    <row r="268" spans="2:8" s="13" customFormat="1">
      <c r="B268" s="142"/>
      <c r="F268" s="12"/>
      <c r="G268" s="12"/>
      <c r="H268" s="12"/>
    </row>
    <row r="269" spans="2:8" s="13" customFormat="1">
      <c r="B269" s="142"/>
      <c r="F269" s="12"/>
      <c r="G269" s="12"/>
      <c r="H269" s="12"/>
    </row>
    <row r="270" spans="2:8" s="13" customFormat="1">
      <c r="B270" s="142"/>
      <c r="F270" s="12"/>
      <c r="G270" s="12"/>
      <c r="H270" s="12"/>
    </row>
    <row r="271" spans="2:8" s="13" customFormat="1">
      <c r="B271" s="142"/>
      <c r="F271" s="12"/>
      <c r="G271" s="12"/>
      <c r="H271" s="12"/>
    </row>
    <row r="272" spans="2:8" s="13" customFormat="1">
      <c r="B272" s="142"/>
      <c r="F272" s="12"/>
      <c r="G272" s="12"/>
      <c r="H272" s="12"/>
    </row>
    <row r="273" spans="2:8" s="13" customFormat="1">
      <c r="B273" s="142"/>
      <c r="F273" s="12"/>
      <c r="G273" s="12"/>
      <c r="H273" s="12"/>
    </row>
    <row r="274" spans="2:8" s="13" customFormat="1">
      <c r="B274" s="142"/>
      <c r="F274" s="12"/>
      <c r="G274" s="12"/>
      <c r="H274" s="12"/>
    </row>
    <row r="275" spans="2:8" s="13" customFormat="1">
      <c r="B275" s="142"/>
      <c r="F275" s="12"/>
      <c r="G275" s="12"/>
      <c r="H275" s="12"/>
    </row>
    <row r="276" spans="2:8" s="13" customFormat="1">
      <c r="B276" s="142"/>
      <c r="F276" s="12"/>
      <c r="G276" s="12"/>
      <c r="H276" s="12"/>
    </row>
    <row r="277" spans="2:8" s="13" customFormat="1">
      <c r="B277" s="142"/>
      <c r="F277" s="12"/>
      <c r="G277" s="12"/>
      <c r="H277" s="12"/>
    </row>
    <row r="278" spans="2:8" s="13" customFormat="1">
      <c r="B278" s="142"/>
      <c r="F278" s="12"/>
      <c r="G278" s="12"/>
      <c r="H278" s="12"/>
    </row>
    <row r="279" spans="2:8" s="13" customFormat="1">
      <c r="B279" s="142"/>
      <c r="F279" s="12"/>
      <c r="G279" s="12"/>
      <c r="H279" s="12"/>
    </row>
    <row r="280" spans="2:8" s="13" customFormat="1">
      <c r="B280" s="142"/>
      <c r="F280" s="12"/>
      <c r="G280" s="12"/>
      <c r="H280" s="12"/>
    </row>
    <row r="281" spans="2:8" s="13" customFormat="1">
      <c r="B281" s="142"/>
      <c r="F281" s="12"/>
      <c r="G281" s="12"/>
      <c r="H281" s="12"/>
    </row>
    <row r="282" spans="2:8" s="13" customFormat="1">
      <c r="B282" s="142"/>
      <c r="F282" s="12"/>
      <c r="G282" s="12"/>
      <c r="H282" s="12"/>
    </row>
    <row r="283" spans="2:8" s="13" customFormat="1">
      <c r="B283" s="142"/>
      <c r="F283" s="12"/>
      <c r="G283" s="12"/>
      <c r="H283" s="12"/>
    </row>
    <row r="284" spans="2:8" s="13" customFormat="1">
      <c r="B284" s="142"/>
      <c r="F284" s="12"/>
      <c r="G284" s="12"/>
      <c r="H284" s="12"/>
    </row>
    <row r="285" spans="2:8" s="13" customFormat="1">
      <c r="B285" s="142"/>
      <c r="F285" s="12"/>
      <c r="G285" s="12"/>
      <c r="H285" s="12"/>
    </row>
    <row r="286" spans="2:8" s="13" customFormat="1">
      <c r="B286" s="142"/>
      <c r="F286" s="12"/>
      <c r="G286" s="12"/>
      <c r="H286" s="12"/>
    </row>
    <row r="287" spans="2:8" s="13" customFormat="1">
      <c r="B287" s="142"/>
      <c r="F287" s="12"/>
      <c r="G287" s="12"/>
      <c r="H287" s="12"/>
    </row>
    <row r="288" spans="2:8" s="13" customFormat="1">
      <c r="B288" s="142"/>
      <c r="F288" s="12"/>
      <c r="G288" s="12"/>
      <c r="H288" s="12"/>
    </row>
    <row r="289" spans="2:8" s="13" customFormat="1">
      <c r="B289" s="142"/>
      <c r="F289" s="12"/>
      <c r="G289" s="12"/>
      <c r="H289" s="12"/>
    </row>
    <row r="290" spans="2:8" s="13" customFormat="1">
      <c r="B290" s="142"/>
      <c r="F290" s="12"/>
      <c r="G290" s="12"/>
      <c r="H290" s="12"/>
    </row>
    <row r="291" spans="2:8" s="13" customFormat="1">
      <c r="B291" s="142"/>
      <c r="F291" s="12"/>
      <c r="G291" s="12"/>
      <c r="H291" s="12"/>
    </row>
    <row r="292" spans="2:8" s="13" customFormat="1">
      <c r="B292" s="142"/>
      <c r="F292" s="12"/>
      <c r="G292" s="12"/>
      <c r="H292" s="12"/>
    </row>
    <row r="293" spans="2:8" s="13" customFormat="1">
      <c r="B293" s="142"/>
      <c r="F293" s="12"/>
      <c r="G293" s="12"/>
      <c r="H293" s="12"/>
    </row>
    <row r="294" spans="2:8" s="13" customFormat="1">
      <c r="B294" s="142"/>
      <c r="F294" s="12"/>
      <c r="G294" s="12"/>
      <c r="H294" s="12"/>
    </row>
    <row r="295" spans="2:8" s="13" customFormat="1">
      <c r="B295" s="142"/>
      <c r="F295" s="12"/>
      <c r="G295" s="12"/>
      <c r="H295" s="12"/>
    </row>
    <row r="296" spans="2:8" s="13" customFormat="1">
      <c r="B296" s="142"/>
      <c r="F296" s="12"/>
      <c r="G296" s="12"/>
      <c r="H296" s="12"/>
    </row>
    <row r="297" spans="2:8" s="13" customFormat="1">
      <c r="B297" s="142"/>
      <c r="F297" s="12"/>
      <c r="G297" s="12"/>
      <c r="H297" s="12"/>
    </row>
    <row r="298" spans="2:8" s="13" customFormat="1">
      <c r="B298" s="142"/>
      <c r="F298" s="12"/>
      <c r="G298" s="12"/>
      <c r="H298" s="12"/>
    </row>
    <row r="299" spans="2:8" s="13" customFormat="1">
      <c r="B299" s="142"/>
      <c r="F299" s="12"/>
      <c r="G299" s="12"/>
      <c r="H299" s="12"/>
    </row>
    <row r="300" spans="2:8" s="13" customFormat="1">
      <c r="B300" s="142"/>
      <c r="F300" s="12"/>
      <c r="G300" s="12"/>
      <c r="H300" s="12"/>
    </row>
    <row r="301" spans="2:8" s="13" customFormat="1">
      <c r="B301" s="142"/>
      <c r="F301" s="12"/>
      <c r="G301" s="12"/>
      <c r="H301" s="12"/>
    </row>
    <row r="302" spans="2:8" s="13" customFormat="1">
      <c r="B302" s="142"/>
      <c r="F302" s="12"/>
      <c r="G302" s="12"/>
      <c r="H302" s="12"/>
    </row>
    <row r="303" spans="2:8" s="13" customFormat="1">
      <c r="B303" s="142"/>
      <c r="F303" s="12"/>
      <c r="G303" s="12"/>
      <c r="H303" s="12"/>
    </row>
    <row r="304" spans="2:8" s="13" customFormat="1">
      <c r="B304" s="142"/>
      <c r="F304" s="12"/>
      <c r="G304" s="12"/>
      <c r="H304" s="12"/>
    </row>
    <row r="305" spans="2:8" s="13" customFormat="1">
      <c r="B305" s="142"/>
      <c r="F305" s="12"/>
      <c r="G305" s="12"/>
      <c r="H305" s="12"/>
    </row>
    <row r="306" spans="2:8" s="13" customFormat="1">
      <c r="B306" s="142"/>
      <c r="F306" s="12"/>
      <c r="G306" s="12"/>
      <c r="H306" s="12"/>
    </row>
    <row r="307" spans="2:8" s="13" customFormat="1">
      <c r="B307" s="142"/>
      <c r="F307" s="12"/>
      <c r="G307" s="12"/>
      <c r="H307" s="12"/>
    </row>
    <row r="308" spans="2:8" s="13" customFormat="1">
      <c r="B308" s="142"/>
      <c r="F308" s="12"/>
      <c r="G308" s="12"/>
      <c r="H308" s="12"/>
    </row>
    <row r="309" spans="2:8" s="13" customFormat="1">
      <c r="B309" s="142"/>
      <c r="F309" s="12"/>
      <c r="G309" s="12"/>
      <c r="H309" s="12"/>
    </row>
    <row r="310" spans="2:8" s="13" customFormat="1">
      <c r="B310" s="142"/>
      <c r="F310" s="12"/>
      <c r="G310" s="12"/>
      <c r="H310" s="12"/>
    </row>
    <row r="311" spans="2:8" s="13" customFormat="1">
      <c r="B311" s="142"/>
      <c r="F311" s="12"/>
      <c r="G311" s="12"/>
      <c r="H311" s="12"/>
    </row>
    <row r="312" spans="2:8" s="13" customFormat="1">
      <c r="B312" s="142"/>
      <c r="F312" s="12"/>
      <c r="G312" s="12"/>
      <c r="H312" s="12"/>
    </row>
    <row r="313" spans="2:8" s="13" customFormat="1">
      <c r="B313" s="142"/>
      <c r="F313" s="12"/>
      <c r="G313" s="12"/>
      <c r="H313" s="12"/>
    </row>
    <row r="314" spans="2:8" s="13" customFormat="1">
      <c r="B314" s="142"/>
      <c r="F314" s="12"/>
      <c r="G314" s="12"/>
      <c r="H314" s="12"/>
    </row>
    <row r="315" spans="2:8" s="13" customFormat="1">
      <c r="B315" s="142"/>
      <c r="F315" s="12"/>
      <c r="G315" s="12"/>
      <c r="H315" s="12"/>
    </row>
    <row r="316" spans="2:8" s="13" customFormat="1">
      <c r="B316" s="142"/>
      <c r="F316" s="12"/>
      <c r="G316" s="12"/>
      <c r="H316" s="12"/>
    </row>
    <row r="317" spans="2:8" s="13" customFormat="1">
      <c r="B317" s="142"/>
      <c r="F317" s="12"/>
      <c r="G317" s="12"/>
      <c r="H317" s="12"/>
    </row>
  </sheetData>
  <mergeCells count="5">
    <mergeCell ref="A5:G5"/>
    <mergeCell ref="A1:G1"/>
    <mergeCell ref="A3:G3"/>
    <mergeCell ref="A2:G2"/>
    <mergeCell ref="A4:G4"/>
  </mergeCells>
  <phoneticPr fontId="11" type="noConversion"/>
  <printOptions horizontalCentered="1"/>
  <pageMargins left="0.2" right="0.2" top="0.57999999999999996" bottom="1.74" header="0.2" footer="0.93"/>
  <pageSetup paperSize="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8"/>
  <sheetViews>
    <sheetView workbookViewId="0">
      <selection activeCell="F24" sqref="F24"/>
    </sheetView>
  </sheetViews>
  <sheetFormatPr defaultRowHeight="12.75"/>
  <cols>
    <col min="1" max="1" width="1.85546875" style="7" customWidth="1"/>
    <col min="2" max="2" width="2.28515625" customWidth="1"/>
    <col min="3" max="3" width="1.5703125" customWidth="1"/>
    <col min="4" max="4" width="1.7109375" style="8" customWidth="1"/>
    <col min="5" max="5" width="52.28515625" style="8" customWidth="1"/>
    <col min="6" max="6" width="16.5703125" style="8" customWidth="1"/>
    <col min="7" max="7" width="15.140625" style="8" hidden="1" customWidth="1"/>
    <col min="8" max="8" width="5.5703125" style="8" customWidth="1"/>
    <col min="9" max="9" width="17.28515625" customWidth="1"/>
    <col min="10" max="10" width="18.28515625" customWidth="1"/>
  </cols>
  <sheetData>
    <row r="2" spans="1:9" ht="18">
      <c r="A2" s="725" t="s">
        <v>7</v>
      </c>
      <c r="B2" s="725"/>
      <c r="C2" s="725"/>
      <c r="D2" s="725"/>
      <c r="E2" s="725"/>
      <c r="F2" s="725"/>
      <c r="G2" s="725"/>
      <c r="H2" s="507"/>
      <c r="I2" s="507"/>
    </row>
    <row r="3" spans="1:9" s="5" customFormat="1" ht="15.75">
      <c r="A3" s="724" t="s">
        <v>236</v>
      </c>
      <c r="B3" s="724"/>
      <c r="C3" s="724"/>
      <c r="D3" s="724"/>
      <c r="E3" s="724"/>
      <c r="F3" s="724"/>
      <c r="G3" s="724"/>
      <c r="H3" s="356"/>
      <c r="I3" s="356"/>
    </row>
    <row r="4" spans="1:9" ht="18">
      <c r="A4" s="725" t="s">
        <v>235</v>
      </c>
      <c r="B4" s="725"/>
      <c r="C4" s="725"/>
      <c r="D4" s="725"/>
      <c r="E4" s="725"/>
      <c r="F4" s="725"/>
      <c r="G4" s="725"/>
      <c r="H4" s="507"/>
      <c r="I4" s="507"/>
    </row>
    <row r="5" spans="1:9">
      <c r="A5" s="726" t="s">
        <v>1146</v>
      </c>
      <c r="B5" s="726"/>
      <c r="C5" s="726"/>
      <c r="D5" s="726"/>
      <c r="E5" s="726"/>
      <c r="F5" s="726"/>
      <c r="G5" s="726"/>
      <c r="H5" s="358"/>
      <c r="I5" s="358"/>
    </row>
    <row r="6" spans="1:9" hidden="1">
      <c r="A6" s="723" t="s">
        <v>1097</v>
      </c>
      <c r="B6" s="723"/>
      <c r="C6" s="723"/>
      <c r="D6" s="723"/>
      <c r="E6" s="723"/>
      <c r="F6" s="723"/>
      <c r="G6" s="723"/>
      <c r="H6" s="357"/>
      <c r="I6" s="442"/>
    </row>
    <row r="7" spans="1:9">
      <c r="A7" s="6"/>
      <c r="B7" s="6"/>
      <c r="C7" s="6"/>
      <c r="D7" s="6"/>
      <c r="E7" s="442"/>
      <c r="F7" s="6"/>
      <c r="G7" s="442"/>
      <c r="H7" s="6"/>
    </row>
    <row r="8" spans="1:9">
      <c r="A8" s="6"/>
      <c r="B8" s="6"/>
      <c r="C8" s="6"/>
      <c r="D8" s="6"/>
      <c r="E8" s="442"/>
      <c r="F8" s="6"/>
      <c r="G8" s="442"/>
      <c r="H8" s="6"/>
    </row>
    <row r="9" spans="1:9">
      <c r="A9" s="444"/>
      <c r="B9" s="192"/>
      <c r="C9" s="192"/>
      <c r="D9" s="192"/>
      <c r="E9" s="192"/>
      <c r="F9" s="446">
        <v>2012</v>
      </c>
      <c r="G9" s="446">
        <v>2011</v>
      </c>
      <c r="H9" s="6"/>
    </row>
    <row r="10" spans="1:9">
      <c r="A10" s="198"/>
      <c r="B10" s="13"/>
      <c r="C10" s="13"/>
      <c r="D10" s="12"/>
      <c r="E10" s="12"/>
      <c r="F10" s="425"/>
      <c r="G10" s="451"/>
    </row>
    <row r="11" spans="1:9">
      <c r="A11" s="198" t="s">
        <v>867</v>
      </c>
      <c r="B11" s="13"/>
      <c r="C11" s="13"/>
      <c r="D11" s="13"/>
      <c r="E11" s="13"/>
      <c r="F11" s="425"/>
      <c r="G11" s="451"/>
    </row>
    <row r="12" spans="1:9">
      <c r="A12" s="198"/>
      <c r="B12" s="13" t="s">
        <v>868</v>
      </c>
      <c r="C12" s="13"/>
      <c r="D12" s="13"/>
      <c r="E12" s="13"/>
      <c r="F12" s="425"/>
      <c r="G12" s="451"/>
    </row>
    <row r="13" spans="1:9" hidden="1">
      <c r="A13" s="198"/>
      <c r="B13" s="13"/>
      <c r="C13" s="13" t="s">
        <v>635</v>
      </c>
      <c r="D13" s="13"/>
      <c r="E13" s="13"/>
      <c r="F13" s="425">
        <f>+TB!E185</f>
        <v>0</v>
      </c>
      <c r="G13" s="451">
        <v>0</v>
      </c>
    </row>
    <row r="14" spans="1:9" hidden="1">
      <c r="A14" s="198"/>
      <c r="B14" s="13"/>
      <c r="C14" s="13" t="s">
        <v>636</v>
      </c>
      <c r="D14" s="13"/>
      <c r="E14" s="13"/>
      <c r="F14" s="425">
        <f>+TB!E186</f>
        <v>0</v>
      </c>
      <c r="G14" s="451">
        <v>0</v>
      </c>
    </row>
    <row r="15" spans="1:9" hidden="1">
      <c r="A15" s="198"/>
      <c r="B15" s="13"/>
      <c r="C15" s="13" t="s">
        <v>637</v>
      </c>
      <c r="D15" s="13"/>
      <c r="E15" s="13"/>
      <c r="F15" s="425">
        <f>+TB!E187</f>
        <v>0</v>
      </c>
      <c r="G15" s="451">
        <v>0</v>
      </c>
    </row>
    <row r="16" spans="1:9" hidden="1">
      <c r="A16" s="198"/>
      <c r="B16" s="13"/>
      <c r="C16" s="13" t="s">
        <v>638</v>
      </c>
      <c r="D16" s="13"/>
      <c r="E16" s="13"/>
      <c r="F16" s="425">
        <f>+TB!E188</f>
        <v>0</v>
      </c>
      <c r="G16" s="451">
        <v>0</v>
      </c>
    </row>
    <row r="17" spans="1:9" hidden="1">
      <c r="A17" s="198"/>
      <c r="B17" s="13"/>
      <c r="C17" s="13" t="s">
        <v>639</v>
      </c>
      <c r="D17" s="13"/>
      <c r="E17" s="13"/>
      <c r="F17" s="425">
        <f>+TB!E189</f>
        <v>0</v>
      </c>
      <c r="G17" s="451">
        <v>0</v>
      </c>
    </row>
    <row r="18" spans="1:9" hidden="1">
      <c r="A18" s="198"/>
      <c r="B18" s="13"/>
      <c r="C18" s="13" t="s">
        <v>640</v>
      </c>
      <c r="D18" s="13"/>
      <c r="E18" s="13"/>
      <c r="F18" s="425">
        <f>+TB!E190</f>
        <v>0</v>
      </c>
      <c r="G18" s="451">
        <v>0</v>
      </c>
    </row>
    <row r="19" spans="1:9" hidden="1">
      <c r="A19" s="198"/>
      <c r="B19" s="13"/>
      <c r="C19" s="13" t="s">
        <v>641</v>
      </c>
      <c r="D19" s="13"/>
      <c r="E19" s="13"/>
      <c r="F19" s="425">
        <f>+TB!E191</f>
        <v>0</v>
      </c>
      <c r="G19" s="451">
        <v>0</v>
      </c>
    </row>
    <row r="20" spans="1:9" hidden="1">
      <c r="A20" s="198"/>
      <c r="B20" s="13"/>
      <c r="C20" s="13" t="s">
        <v>642</v>
      </c>
      <c r="D20" s="13"/>
      <c r="E20" s="13"/>
      <c r="F20" s="425">
        <f>+TB!E192</f>
        <v>0</v>
      </c>
      <c r="G20" s="451">
        <v>0</v>
      </c>
    </row>
    <row r="21" spans="1:9" hidden="1">
      <c r="A21" s="198"/>
      <c r="B21" s="13"/>
      <c r="C21" s="13"/>
      <c r="D21" s="13" t="s">
        <v>869</v>
      </c>
      <c r="E21" s="13"/>
      <c r="F21" s="425">
        <f>+TB!C410</f>
        <v>0</v>
      </c>
      <c r="G21" s="451">
        <v>0</v>
      </c>
    </row>
    <row r="22" spans="1:9" hidden="1">
      <c r="A22" s="198"/>
      <c r="B22" s="13"/>
      <c r="C22" s="13" t="s">
        <v>643</v>
      </c>
      <c r="D22" s="13"/>
      <c r="E22" s="13"/>
      <c r="F22" s="425">
        <f>+TB!E193</f>
        <v>0</v>
      </c>
      <c r="G22" s="451">
        <v>0</v>
      </c>
    </row>
    <row r="23" spans="1:9" hidden="1">
      <c r="A23" s="198"/>
      <c r="B23" s="13"/>
      <c r="C23" s="13" t="s">
        <v>644</v>
      </c>
      <c r="D23" s="13"/>
      <c r="E23" s="13"/>
      <c r="F23" s="425">
        <f>+TB!E194</f>
        <v>0</v>
      </c>
      <c r="G23" s="451">
        <v>0</v>
      </c>
    </row>
    <row r="24" spans="1:9">
      <c r="A24" s="198"/>
      <c r="B24" s="13"/>
      <c r="C24" s="13" t="s">
        <v>94</v>
      </c>
      <c r="D24" s="13"/>
      <c r="E24" s="13"/>
      <c r="F24" s="425">
        <f>+TB!E195</f>
        <v>59435649.75</v>
      </c>
      <c r="G24" s="451">
        <v>61821031.350000009</v>
      </c>
    </row>
    <row r="25" spans="1:9">
      <c r="A25" s="198"/>
      <c r="B25" s="13"/>
      <c r="C25" s="13"/>
      <c r="D25" s="13" t="s">
        <v>870</v>
      </c>
      <c r="E25" s="13"/>
      <c r="F25" s="425">
        <f>-TB!C411</f>
        <v>-7217024.1499999994</v>
      </c>
      <c r="G25" s="454">
        <v>-6269171.4800000004</v>
      </c>
      <c r="I25" s="19"/>
    </row>
    <row r="26" spans="1:9" hidden="1">
      <c r="A26" s="198"/>
      <c r="B26" s="13"/>
      <c r="C26" s="13" t="s">
        <v>645</v>
      </c>
      <c r="D26" s="13"/>
      <c r="E26" s="13"/>
      <c r="F26" s="425">
        <f>+TB!E196</f>
        <v>0</v>
      </c>
      <c r="G26" s="451">
        <v>0</v>
      </c>
    </row>
    <row r="27" spans="1:9" hidden="1">
      <c r="A27" s="198"/>
      <c r="B27" s="13"/>
      <c r="C27" s="13" t="s">
        <v>646</v>
      </c>
      <c r="D27" s="13"/>
      <c r="E27" s="13"/>
      <c r="F27" s="425">
        <f>+TB!E197</f>
        <v>0</v>
      </c>
      <c r="G27" s="451">
        <v>0</v>
      </c>
    </row>
    <row r="28" spans="1:9" hidden="1">
      <c r="A28" s="198"/>
      <c r="B28" s="13"/>
      <c r="C28" s="13" t="s">
        <v>237</v>
      </c>
      <c r="D28" s="13"/>
      <c r="E28" s="13"/>
      <c r="F28" s="425">
        <f>+TB!E198</f>
        <v>0</v>
      </c>
      <c r="G28" s="451">
        <v>0</v>
      </c>
    </row>
    <row r="29" spans="1:9">
      <c r="A29" s="198"/>
      <c r="B29" s="13"/>
      <c r="C29" s="13" t="s">
        <v>169</v>
      </c>
      <c r="D29" s="13"/>
      <c r="E29" s="13"/>
      <c r="F29" s="425">
        <f>+TB!E199</f>
        <v>5061586.9200000009</v>
      </c>
      <c r="G29" s="451">
        <v>7493226.7199999997</v>
      </c>
    </row>
    <row r="30" spans="1:9">
      <c r="A30" s="198"/>
      <c r="B30" s="13"/>
      <c r="C30" s="13" t="s">
        <v>871</v>
      </c>
      <c r="D30" s="13"/>
      <c r="E30" s="13"/>
      <c r="F30" s="510">
        <f>SUM(F13:F29)</f>
        <v>57280212.520000003</v>
      </c>
      <c r="G30" s="508">
        <f>SUM(G13:G29)</f>
        <v>63045086.590000004</v>
      </c>
      <c r="I30" s="19"/>
    </row>
    <row r="31" spans="1:9">
      <c r="A31" s="198" t="s">
        <v>872</v>
      </c>
      <c r="B31" s="13"/>
      <c r="C31" s="13"/>
      <c r="D31" s="13"/>
      <c r="E31" s="13"/>
      <c r="F31" s="425"/>
      <c r="G31" s="451"/>
    </row>
    <row r="32" spans="1:9" hidden="1">
      <c r="A32" s="198"/>
      <c r="B32" s="350" t="s">
        <v>690</v>
      </c>
      <c r="C32" s="13"/>
      <c r="D32" s="13"/>
      <c r="E32" s="13"/>
      <c r="F32" s="425">
        <f>+TB!E245</f>
        <v>0</v>
      </c>
      <c r="G32" s="451">
        <v>0</v>
      </c>
    </row>
    <row r="33" spans="1:7" hidden="1">
      <c r="A33" s="198"/>
      <c r="B33" s="350" t="s">
        <v>238</v>
      </c>
      <c r="C33" s="13"/>
      <c r="D33" s="13"/>
      <c r="E33" s="13"/>
      <c r="F33" s="425"/>
      <c r="G33" s="451"/>
    </row>
    <row r="34" spans="1:7" hidden="1">
      <c r="A34" s="198"/>
      <c r="B34" s="13"/>
      <c r="C34" s="13" t="s">
        <v>647</v>
      </c>
      <c r="D34" s="13"/>
      <c r="E34" s="13"/>
      <c r="F34" s="425">
        <f>+TB!E200</f>
        <v>0</v>
      </c>
      <c r="G34" s="451">
        <v>0</v>
      </c>
    </row>
    <row r="35" spans="1:7" hidden="1">
      <c r="A35" s="198"/>
      <c r="B35" s="13"/>
      <c r="C35" s="13" t="s">
        <v>648</v>
      </c>
      <c r="D35" s="13"/>
      <c r="E35" s="13"/>
      <c r="F35" s="425">
        <f>+TB!E201</f>
        <v>0</v>
      </c>
      <c r="G35" s="451">
        <v>0</v>
      </c>
    </row>
    <row r="36" spans="1:7" hidden="1">
      <c r="A36" s="198"/>
      <c r="B36" s="13"/>
      <c r="C36" s="13" t="s">
        <v>649</v>
      </c>
      <c r="D36" s="13"/>
      <c r="E36" s="13"/>
      <c r="F36" s="425">
        <f>+TB!E202</f>
        <v>0</v>
      </c>
      <c r="G36" s="451">
        <v>0</v>
      </c>
    </row>
    <row r="37" spans="1:7" hidden="1">
      <c r="A37" s="198"/>
      <c r="B37" s="13"/>
      <c r="C37" s="350" t="s">
        <v>873</v>
      </c>
      <c r="D37" s="13"/>
      <c r="E37" s="13"/>
      <c r="F37" s="425"/>
      <c r="G37" s="451"/>
    </row>
    <row r="38" spans="1:7" hidden="1">
      <c r="A38" s="198"/>
      <c r="B38" s="13"/>
      <c r="C38" s="13" t="s">
        <v>650</v>
      </c>
      <c r="D38" s="13"/>
      <c r="E38" s="13"/>
      <c r="F38" s="425">
        <f>+TB!E203</f>
        <v>0</v>
      </c>
      <c r="G38" s="451">
        <v>0</v>
      </c>
    </row>
    <row r="39" spans="1:7" hidden="1">
      <c r="A39" s="198"/>
      <c r="B39" s="13"/>
      <c r="C39" s="13" t="s">
        <v>651</v>
      </c>
      <c r="D39" s="13"/>
      <c r="E39" s="13"/>
      <c r="F39" s="425">
        <f>+TB!E204</f>
        <v>0</v>
      </c>
      <c r="G39" s="451">
        <v>0</v>
      </c>
    </row>
    <row r="40" spans="1:7" hidden="1">
      <c r="A40" s="198"/>
      <c r="B40" s="13"/>
      <c r="C40" s="13" t="s">
        <v>652</v>
      </c>
      <c r="D40" s="13"/>
      <c r="E40" s="13"/>
      <c r="F40" s="425">
        <f>+TB!E205</f>
        <v>0</v>
      </c>
      <c r="G40" s="451">
        <v>0</v>
      </c>
    </row>
    <row r="41" spans="1:7" hidden="1">
      <c r="A41" s="198"/>
      <c r="B41" s="13"/>
      <c r="C41" s="13" t="s">
        <v>653</v>
      </c>
      <c r="D41" s="13"/>
      <c r="E41" s="13"/>
      <c r="F41" s="425">
        <f>+TB!E206</f>
        <v>0</v>
      </c>
      <c r="G41" s="451">
        <v>0</v>
      </c>
    </row>
    <row r="42" spans="1:7" hidden="1">
      <c r="A42" s="198"/>
      <c r="B42" s="13"/>
      <c r="C42" s="350" t="s">
        <v>874</v>
      </c>
      <c r="D42" s="13"/>
      <c r="E42" s="13"/>
      <c r="F42" s="510">
        <f>SUM(F34:F41)</f>
        <v>0</v>
      </c>
      <c r="G42" s="510">
        <f>SUM(G34:G41)</f>
        <v>0</v>
      </c>
    </row>
    <row r="43" spans="1:7" hidden="1">
      <c r="A43" s="198"/>
      <c r="B43" s="350" t="s">
        <v>239</v>
      </c>
      <c r="C43" s="13"/>
      <c r="D43" s="13"/>
      <c r="E43" s="13"/>
      <c r="F43" s="425"/>
      <c r="G43" s="451"/>
    </row>
    <row r="44" spans="1:7" hidden="1">
      <c r="A44" s="198"/>
      <c r="B44" s="350"/>
      <c r="C44" s="13" t="s">
        <v>654</v>
      </c>
      <c r="D44" s="13"/>
      <c r="E44" s="13"/>
      <c r="F44" s="425">
        <f>+TB!E207</f>
        <v>0</v>
      </c>
      <c r="G44" s="451">
        <v>0</v>
      </c>
    </row>
    <row r="45" spans="1:7" hidden="1">
      <c r="A45" s="198"/>
      <c r="B45" s="350"/>
      <c r="C45" s="13" t="s">
        <v>655</v>
      </c>
      <c r="D45" s="13"/>
      <c r="E45" s="13"/>
      <c r="F45" s="425">
        <f>+TB!E208</f>
        <v>0</v>
      </c>
      <c r="G45" s="451">
        <v>0</v>
      </c>
    </row>
    <row r="46" spans="1:7" hidden="1">
      <c r="A46" s="198"/>
      <c r="B46" s="350"/>
      <c r="C46" s="13" t="s">
        <v>656</v>
      </c>
      <c r="D46" s="13"/>
      <c r="E46" s="13"/>
      <c r="F46" s="425">
        <f>+TB!E209</f>
        <v>0</v>
      </c>
      <c r="G46" s="451">
        <v>0</v>
      </c>
    </row>
    <row r="47" spans="1:7" hidden="1">
      <c r="A47" s="198"/>
      <c r="B47" s="350"/>
      <c r="C47" s="13" t="s">
        <v>657</v>
      </c>
      <c r="D47" s="13"/>
      <c r="E47" s="13"/>
      <c r="F47" s="425">
        <f>+TB!E210</f>
        <v>0</v>
      </c>
      <c r="G47" s="451">
        <v>0</v>
      </c>
    </row>
    <row r="48" spans="1:7" hidden="1">
      <c r="A48" s="198"/>
      <c r="B48" s="350"/>
      <c r="C48" s="13" t="s">
        <v>658</v>
      </c>
      <c r="D48" s="13"/>
      <c r="E48" s="13"/>
      <c r="F48" s="425">
        <f>+TB!E211</f>
        <v>0</v>
      </c>
      <c r="G48" s="451">
        <v>0</v>
      </c>
    </row>
    <row r="49" spans="1:7" hidden="1">
      <c r="A49" s="198"/>
      <c r="B49" s="350"/>
      <c r="C49" s="13" t="s">
        <v>659</v>
      </c>
      <c r="D49" s="13"/>
      <c r="E49" s="13"/>
      <c r="F49" s="425">
        <f>+TB!E212</f>
        <v>0</v>
      </c>
      <c r="G49" s="451">
        <v>0</v>
      </c>
    </row>
    <row r="50" spans="1:7" hidden="1">
      <c r="A50" s="198"/>
      <c r="B50" s="350"/>
      <c r="C50" s="13" t="s">
        <v>660</v>
      </c>
      <c r="D50" s="13"/>
      <c r="E50" s="13"/>
      <c r="F50" s="425">
        <f>+TB!E213</f>
        <v>0</v>
      </c>
      <c r="G50" s="451">
        <v>0</v>
      </c>
    </row>
    <row r="51" spans="1:7" hidden="1">
      <c r="A51" s="198"/>
      <c r="B51" s="350"/>
      <c r="C51" s="13" t="s">
        <v>661</v>
      </c>
      <c r="D51" s="13"/>
      <c r="E51" s="13"/>
      <c r="F51" s="425">
        <f>+TB!E214</f>
        <v>0</v>
      </c>
      <c r="G51" s="451">
        <v>0</v>
      </c>
    </row>
    <row r="52" spans="1:7" hidden="1">
      <c r="A52" s="198"/>
      <c r="B52" s="350"/>
      <c r="C52" s="13" t="s">
        <v>662</v>
      </c>
      <c r="D52" s="13"/>
      <c r="E52" s="13"/>
      <c r="F52" s="425">
        <f>+TB!E215</f>
        <v>0</v>
      </c>
      <c r="G52" s="451">
        <v>0</v>
      </c>
    </row>
    <row r="53" spans="1:7" hidden="1">
      <c r="A53" s="198"/>
      <c r="B53" s="350"/>
      <c r="C53" s="13" t="s">
        <v>663</v>
      </c>
      <c r="D53" s="13"/>
      <c r="E53" s="13"/>
      <c r="F53" s="425">
        <f>+TB!E216</f>
        <v>0</v>
      </c>
      <c r="G53" s="451">
        <v>0</v>
      </c>
    </row>
    <row r="54" spans="1:7" hidden="1">
      <c r="A54" s="198"/>
      <c r="B54" s="350"/>
      <c r="C54" s="13" t="s">
        <v>664</v>
      </c>
      <c r="D54" s="13"/>
      <c r="E54" s="13"/>
      <c r="F54" s="425">
        <f>+TB!E217</f>
        <v>0</v>
      </c>
      <c r="G54" s="451">
        <v>0</v>
      </c>
    </row>
    <row r="55" spans="1:7" hidden="1">
      <c r="A55" s="198"/>
      <c r="B55" s="350"/>
      <c r="C55" s="13" t="s">
        <v>665</v>
      </c>
      <c r="D55" s="13"/>
      <c r="E55" s="13"/>
      <c r="F55" s="425">
        <f>+TB!E218</f>
        <v>0</v>
      </c>
      <c r="G55" s="451">
        <v>0</v>
      </c>
    </row>
    <row r="56" spans="1:7" hidden="1">
      <c r="A56" s="198"/>
      <c r="B56" s="350"/>
      <c r="C56" s="13" t="s">
        <v>666</v>
      </c>
      <c r="D56" s="13"/>
      <c r="E56" s="13"/>
      <c r="F56" s="425">
        <f>+TB!E219</f>
        <v>0</v>
      </c>
      <c r="G56" s="451">
        <v>0</v>
      </c>
    </row>
    <row r="57" spans="1:7" hidden="1">
      <c r="A57" s="198"/>
      <c r="B57" s="350"/>
      <c r="C57" s="13" t="s">
        <v>667</v>
      </c>
      <c r="D57" s="13"/>
      <c r="E57" s="13"/>
      <c r="F57" s="425">
        <f>+TB!E220</f>
        <v>0</v>
      </c>
      <c r="G57" s="451">
        <v>0</v>
      </c>
    </row>
    <row r="58" spans="1:7" hidden="1">
      <c r="A58" s="198"/>
      <c r="B58" s="350"/>
      <c r="C58" s="13" t="s">
        <v>668</v>
      </c>
      <c r="D58" s="13"/>
      <c r="E58" s="13"/>
      <c r="F58" s="425">
        <f>+TB!E221</f>
        <v>0</v>
      </c>
      <c r="G58" s="451">
        <v>0</v>
      </c>
    </row>
    <row r="59" spans="1:7" hidden="1">
      <c r="A59" s="198"/>
      <c r="B59" s="350"/>
      <c r="C59" s="350" t="s">
        <v>875</v>
      </c>
      <c r="D59" s="13"/>
      <c r="E59" s="13"/>
      <c r="F59" s="510">
        <f>SUM(F44:F58)</f>
        <v>0</v>
      </c>
      <c r="G59" s="510">
        <f>SUM(G44:G58)</f>
        <v>0</v>
      </c>
    </row>
    <row r="60" spans="1:7" hidden="1">
      <c r="A60" s="198"/>
      <c r="B60" s="350" t="s">
        <v>240</v>
      </c>
      <c r="C60" s="13"/>
      <c r="D60" s="13"/>
      <c r="E60" s="13"/>
      <c r="F60" s="425"/>
      <c r="G60" s="451"/>
    </row>
    <row r="61" spans="1:7" hidden="1">
      <c r="A61" s="198"/>
      <c r="B61" s="350"/>
      <c r="C61" s="13" t="s">
        <v>669</v>
      </c>
      <c r="D61" s="13"/>
      <c r="E61" s="13"/>
      <c r="F61" s="425">
        <f>+TB!E222</f>
        <v>0</v>
      </c>
      <c r="G61" s="451">
        <v>0</v>
      </c>
    </row>
    <row r="62" spans="1:7" hidden="1">
      <c r="A62" s="198"/>
      <c r="B62" s="350"/>
      <c r="C62" s="13" t="s">
        <v>670</v>
      </c>
      <c r="D62" s="13"/>
      <c r="E62" s="13"/>
      <c r="F62" s="425">
        <f>+TB!E223</f>
        <v>0</v>
      </c>
      <c r="G62" s="451">
        <v>0</v>
      </c>
    </row>
    <row r="63" spans="1:7" hidden="1">
      <c r="A63" s="198"/>
      <c r="B63" s="350"/>
      <c r="C63" s="13" t="s">
        <v>671</v>
      </c>
      <c r="D63" s="13"/>
      <c r="E63" s="13"/>
      <c r="F63" s="425">
        <f>+TB!E224</f>
        <v>0</v>
      </c>
      <c r="G63" s="451">
        <v>0</v>
      </c>
    </row>
    <row r="64" spans="1:7" hidden="1">
      <c r="A64" s="198"/>
      <c r="B64" s="350"/>
      <c r="C64" s="13" t="s">
        <v>672</v>
      </c>
      <c r="D64" s="13"/>
      <c r="E64" s="13"/>
      <c r="F64" s="425">
        <f>+TB!E225</f>
        <v>0</v>
      </c>
      <c r="G64" s="451">
        <v>0</v>
      </c>
    </row>
    <row r="65" spans="1:7" hidden="1">
      <c r="A65" s="198"/>
      <c r="B65" s="350"/>
      <c r="C65" s="13" t="s">
        <v>673</v>
      </c>
      <c r="D65" s="13"/>
      <c r="E65" s="13"/>
      <c r="F65" s="425">
        <f>+TB!E226</f>
        <v>0</v>
      </c>
      <c r="G65" s="451">
        <v>0</v>
      </c>
    </row>
    <row r="66" spans="1:7" hidden="1">
      <c r="A66" s="198"/>
      <c r="B66" s="350"/>
      <c r="C66" s="350" t="s">
        <v>678</v>
      </c>
      <c r="D66" s="13"/>
      <c r="E66" s="13"/>
      <c r="F66" s="425">
        <f>+TB!E227</f>
        <v>0</v>
      </c>
      <c r="G66" s="451">
        <v>0</v>
      </c>
    </row>
    <row r="67" spans="1:7" hidden="1">
      <c r="A67" s="198"/>
      <c r="B67" s="350"/>
      <c r="C67" s="13" t="s">
        <v>674</v>
      </c>
      <c r="D67" s="13"/>
      <c r="E67" s="13"/>
      <c r="F67" s="425">
        <f>+TB!E228</f>
        <v>0</v>
      </c>
      <c r="G67" s="451">
        <v>0</v>
      </c>
    </row>
    <row r="68" spans="1:7" hidden="1">
      <c r="A68" s="198"/>
      <c r="B68" s="350"/>
      <c r="C68" s="13" t="s">
        <v>675</v>
      </c>
      <c r="D68" s="13"/>
      <c r="E68" s="13"/>
      <c r="F68" s="425">
        <f>+TB!E229</f>
        <v>0</v>
      </c>
      <c r="G68" s="451">
        <v>0</v>
      </c>
    </row>
    <row r="69" spans="1:7" hidden="1">
      <c r="A69" s="198"/>
      <c r="B69" s="350"/>
      <c r="C69" s="13" t="s">
        <v>676</v>
      </c>
      <c r="D69" s="13"/>
      <c r="E69" s="13"/>
      <c r="F69" s="425">
        <f>+TB!E230</f>
        <v>0</v>
      </c>
      <c r="G69" s="451">
        <v>0</v>
      </c>
    </row>
    <row r="70" spans="1:7" hidden="1">
      <c r="A70" s="198"/>
      <c r="B70" s="350"/>
      <c r="C70" s="13" t="s">
        <v>677</v>
      </c>
      <c r="D70" s="13"/>
      <c r="E70" s="13"/>
      <c r="F70" s="425">
        <f>+TB!E231</f>
        <v>0</v>
      </c>
      <c r="G70" s="451">
        <v>0</v>
      </c>
    </row>
    <row r="71" spans="1:7" hidden="1">
      <c r="A71" s="198"/>
      <c r="B71" s="350"/>
      <c r="C71" s="13" t="s">
        <v>679</v>
      </c>
      <c r="D71" s="13"/>
      <c r="E71" s="13"/>
      <c r="F71" s="425">
        <f>+TB!E232</f>
        <v>0</v>
      </c>
      <c r="G71" s="451">
        <v>0</v>
      </c>
    </row>
    <row r="72" spans="1:7" hidden="1">
      <c r="A72" s="198"/>
      <c r="B72" s="350"/>
      <c r="C72" s="13" t="s">
        <v>680</v>
      </c>
      <c r="D72" s="13"/>
      <c r="E72" s="13"/>
      <c r="F72" s="425">
        <f>+TB!E233</f>
        <v>0</v>
      </c>
      <c r="G72" s="451">
        <v>0</v>
      </c>
    </row>
    <row r="73" spans="1:7" hidden="1">
      <c r="A73" s="198"/>
      <c r="B73" s="350"/>
      <c r="C73" s="13" t="s">
        <v>681</v>
      </c>
      <c r="D73" s="13"/>
      <c r="E73" s="13"/>
      <c r="F73" s="425">
        <f>+TB!E234</f>
        <v>0</v>
      </c>
      <c r="G73" s="451">
        <v>0</v>
      </c>
    </row>
    <row r="74" spans="1:7" hidden="1">
      <c r="A74" s="198"/>
      <c r="B74" s="350"/>
      <c r="C74" s="13"/>
      <c r="D74" s="350" t="s">
        <v>634</v>
      </c>
      <c r="E74" s="350"/>
      <c r="F74" s="425">
        <f>+TB!C182</f>
        <v>0</v>
      </c>
      <c r="G74" s="451">
        <v>0</v>
      </c>
    </row>
    <row r="75" spans="1:7" hidden="1">
      <c r="A75" s="198"/>
      <c r="B75" s="350"/>
      <c r="C75" s="350" t="s">
        <v>876</v>
      </c>
      <c r="D75" s="13"/>
      <c r="E75" s="13"/>
      <c r="F75" s="425">
        <f>+F73-F74</f>
        <v>0</v>
      </c>
      <c r="G75" s="451">
        <v>0</v>
      </c>
    </row>
    <row r="76" spans="1:7" hidden="1">
      <c r="A76" s="198"/>
      <c r="B76" s="13"/>
      <c r="C76" s="13" t="s">
        <v>682</v>
      </c>
      <c r="D76" s="13"/>
      <c r="E76" s="13"/>
      <c r="F76" s="425">
        <f>+TB!E235</f>
        <v>0</v>
      </c>
      <c r="G76" s="451">
        <v>0</v>
      </c>
    </row>
    <row r="77" spans="1:7" hidden="1">
      <c r="A77" s="198"/>
      <c r="B77" s="13"/>
      <c r="C77" s="13" t="s">
        <v>683</v>
      </c>
      <c r="D77" s="13"/>
      <c r="E77" s="13"/>
      <c r="F77" s="425">
        <f>+TB!E236</f>
        <v>0</v>
      </c>
      <c r="G77" s="451">
        <v>0</v>
      </c>
    </row>
    <row r="78" spans="1:7" hidden="1">
      <c r="A78" s="198"/>
      <c r="B78" s="13"/>
      <c r="C78" s="13" t="s">
        <v>684</v>
      </c>
      <c r="D78" s="13"/>
      <c r="E78" s="13"/>
      <c r="F78" s="425">
        <f>+TB!E237</f>
        <v>0</v>
      </c>
      <c r="G78" s="451">
        <v>0</v>
      </c>
    </row>
    <row r="79" spans="1:7" hidden="1">
      <c r="A79" s="198"/>
      <c r="B79" s="13"/>
      <c r="C79" s="350" t="s">
        <v>877</v>
      </c>
      <c r="D79" s="13"/>
      <c r="E79" s="13"/>
      <c r="F79" s="510">
        <f>SUM(F75:F78)+SUM(F61:F72)</f>
        <v>0</v>
      </c>
      <c r="G79" s="510">
        <f>SUM(G75:G78)+SUM(G61:G72)</f>
        <v>0</v>
      </c>
    </row>
    <row r="80" spans="1:7">
      <c r="A80" s="198"/>
      <c r="B80" s="350" t="s">
        <v>241</v>
      </c>
      <c r="C80" s="13"/>
      <c r="D80" s="13"/>
      <c r="E80" s="13"/>
      <c r="F80" s="425"/>
      <c r="G80" s="451"/>
    </row>
    <row r="81" spans="1:9" hidden="1">
      <c r="A81" s="198"/>
      <c r="B81" s="13"/>
      <c r="C81" s="13" t="s">
        <v>688</v>
      </c>
      <c r="D81" s="13"/>
      <c r="E81" s="13"/>
      <c r="F81" s="425">
        <f>+TB!E241</f>
        <v>0</v>
      </c>
      <c r="G81" s="451">
        <v>0</v>
      </c>
    </row>
    <row r="82" spans="1:9" hidden="1">
      <c r="A82" s="198"/>
      <c r="B82" s="13"/>
      <c r="C82" s="13" t="s">
        <v>439</v>
      </c>
      <c r="D82" s="13"/>
      <c r="E82" s="13"/>
      <c r="F82" s="425">
        <f>+TB!E242</f>
        <v>0</v>
      </c>
      <c r="G82" s="451">
        <v>0</v>
      </c>
    </row>
    <row r="83" spans="1:9" hidden="1">
      <c r="A83" s="198"/>
      <c r="B83" s="13"/>
      <c r="C83" s="13" t="s">
        <v>689</v>
      </c>
      <c r="D83" s="13"/>
      <c r="E83" s="13"/>
      <c r="F83" s="425">
        <f>+TB!E243</f>
        <v>0</v>
      </c>
      <c r="G83" s="451">
        <v>0</v>
      </c>
    </row>
    <row r="84" spans="1:9">
      <c r="A84" s="198"/>
      <c r="B84" s="13"/>
      <c r="C84" s="13" t="s">
        <v>49</v>
      </c>
      <c r="D84" s="13"/>
      <c r="E84" s="13"/>
      <c r="F84" s="425">
        <f>+TB!E244</f>
        <v>1089432.8700000001</v>
      </c>
      <c r="G84" s="451">
        <v>1533096.1500000001</v>
      </c>
    </row>
    <row r="85" spans="1:9" hidden="1">
      <c r="A85" s="198"/>
      <c r="B85" s="13"/>
      <c r="C85" s="13" t="s">
        <v>691</v>
      </c>
      <c r="D85" s="13"/>
      <c r="E85" s="13"/>
      <c r="F85" s="425">
        <f>+TB!E246</f>
        <v>0</v>
      </c>
      <c r="G85" s="451">
        <v>0</v>
      </c>
    </row>
    <row r="86" spans="1:9" hidden="1">
      <c r="A86" s="198"/>
      <c r="B86" s="13"/>
      <c r="C86" s="13" t="s">
        <v>692</v>
      </c>
      <c r="D86" s="13"/>
      <c r="E86" s="13"/>
      <c r="F86" s="425">
        <f>+TB!E247</f>
        <v>0</v>
      </c>
      <c r="G86" s="451">
        <v>0</v>
      </c>
    </row>
    <row r="87" spans="1:9" hidden="1">
      <c r="A87" s="198"/>
      <c r="B87" s="13"/>
      <c r="C87" s="13" t="s">
        <v>693</v>
      </c>
      <c r="D87" s="13"/>
      <c r="E87" s="13"/>
      <c r="F87" s="425">
        <f>+TB!E248</f>
        <v>0</v>
      </c>
      <c r="G87" s="451">
        <v>0</v>
      </c>
    </row>
    <row r="88" spans="1:9" hidden="1">
      <c r="A88" s="198"/>
      <c r="B88" s="13"/>
      <c r="C88" s="13" t="s">
        <v>694</v>
      </c>
      <c r="D88" s="13"/>
      <c r="E88" s="13"/>
      <c r="F88" s="425">
        <f>+TB!E249</f>
        <v>0</v>
      </c>
      <c r="G88" s="451">
        <v>0</v>
      </c>
    </row>
    <row r="89" spans="1:9" hidden="1">
      <c r="A89" s="198"/>
      <c r="B89" s="13"/>
      <c r="C89" s="13" t="s">
        <v>695</v>
      </c>
      <c r="D89" s="13"/>
      <c r="E89" s="13"/>
      <c r="F89" s="425">
        <f>+TB!E250</f>
        <v>0</v>
      </c>
      <c r="G89" s="451">
        <v>0</v>
      </c>
    </row>
    <row r="90" spans="1:9" hidden="1">
      <c r="A90" s="198"/>
      <c r="B90" s="13"/>
      <c r="C90" s="13" t="s">
        <v>696</v>
      </c>
      <c r="D90" s="13"/>
      <c r="E90" s="13"/>
      <c r="F90" s="425">
        <f>+TB!E251</f>
        <v>0</v>
      </c>
      <c r="G90" s="451">
        <v>0</v>
      </c>
    </row>
    <row r="91" spans="1:9">
      <c r="A91" s="198"/>
      <c r="B91" s="13"/>
      <c r="C91" s="13" t="s">
        <v>279</v>
      </c>
      <c r="D91" s="13"/>
      <c r="E91" s="13"/>
      <c r="F91" s="425">
        <f>+TB!E252</f>
        <v>313.64</v>
      </c>
      <c r="G91" s="451">
        <v>81.17</v>
      </c>
    </row>
    <row r="92" spans="1:9" hidden="1">
      <c r="A92" s="198"/>
      <c r="B92" s="13"/>
      <c r="C92" s="13" t="s">
        <v>697</v>
      </c>
      <c r="D92" s="13"/>
      <c r="E92" s="13"/>
      <c r="F92" s="425">
        <f>+TB!E253</f>
        <v>0</v>
      </c>
      <c r="G92" s="451">
        <v>0</v>
      </c>
    </row>
    <row r="93" spans="1:9">
      <c r="A93" s="198"/>
      <c r="B93" s="13"/>
      <c r="C93" s="350" t="s">
        <v>878</v>
      </c>
      <c r="D93" s="13"/>
      <c r="E93" s="13"/>
      <c r="F93" s="510">
        <f>SUM(F81:F92)</f>
        <v>1089746.51</v>
      </c>
      <c r="G93" s="510">
        <f>SUM(G81:G92)</f>
        <v>1533177.32</v>
      </c>
      <c r="I93" s="19"/>
    </row>
    <row r="94" spans="1:9">
      <c r="A94" s="198"/>
      <c r="B94" s="350" t="s">
        <v>879</v>
      </c>
      <c r="C94" s="13"/>
      <c r="D94" s="13"/>
      <c r="E94" s="13"/>
      <c r="F94" s="510">
        <f>+F93+F79+F59+F42+F30</f>
        <v>58369959.030000001</v>
      </c>
      <c r="G94" s="510">
        <f>+G93+G79+G59+G42+G30</f>
        <v>64578263.910000004</v>
      </c>
      <c r="I94" s="19"/>
    </row>
    <row r="95" spans="1:9">
      <c r="A95" s="198" t="s">
        <v>880</v>
      </c>
      <c r="B95" s="13"/>
      <c r="C95" s="13"/>
      <c r="D95" s="13"/>
      <c r="E95" s="13"/>
      <c r="F95" s="425"/>
      <c r="G95" s="451"/>
    </row>
    <row r="96" spans="1:9">
      <c r="A96" s="198"/>
      <c r="B96" s="350" t="s">
        <v>242</v>
      </c>
      <c r="C96" s="13"/>
      <c r="D96" s="13"/>
      <c r="E96" s="13"/>
      <c r="F96" s="425"/>
      <c r="G96" s="451"/>
    </row>
    <row r="97" spans="1:7">
      <c r="A97" s="198"/>
      <c r="B97" s="13"/>
      <c r="C97" s="350" t="s">
        <v>881</v>
      </c>
      <c r="D97" s="13"/>
      <c r="E97" s="13"/>
      <c r="F97" s="425"/>
      <c r="G97" s="451"/>
    </row>
    <row r="98" spans="1:7">
      <c r="A98" s="198"/>
      <c r="B98" s="13"/>
      <c r="C98" s="13"/>
      <c r="D98" s="13" t="s">
        <v>95</v>
      </c>
      <c r="E98" s="13"/>
      <c r="F98" s="425">
        <f>+TB!C257</f>
        <v>19334638.449999999</v>
      </c>
      <c r="G98" s="451">
        <v>23374211.18</v>
      </c>
    </row>
    <row r="99" spans="1:7" hidden="1">
      <c r="A99" s="198"/>
      <c r="B99" s="13"/>
      <c r="C99" s="13"/>
      <c r="D99" s="13" t="s">
        <v>700</v>
      </c>
      <c r="E99" s="13"/>
      <c r="F99" s="425">
        <f>+TB!C258</f>
        <v>0</v>
      </c>
      <c r="G99" s="451">
        <v>0</v>
      </c>
    </row>
    <row r="100" spans="1:7" hidden="1">
      <c r="A100" s="198"/>
      <c r="B100" s="13"/>
      <c r="C100" s="13"/>
      <c r="D100" s="13" t="s">
        <v>701</v>
      </c>
      <c r="E100" s="13"/>
      <c r="F100" s="425">
        <f>+TB!C259</f>
        <v>0</v>
      </c>
      <c r="G100" s="451">
        <v>0</v>
      </c>
    </row>
    <row r="101" spans="1:7" hidden="1">
      <c r="A101" s="198"/>
      <c r="B101" s="13"/>
      <c r="C101" s="13"/>
      <c r="D101" s="13" t="s">
        <v>702</v>
      </c>
      <c r="E101" s="13"/>
      <c r="F101" s="425">
        <f>+TB!C260</f>
        <v>0</v>
      </c>
      <c r="G101" s="451">
        <v>0</v>
      </c>
    </row>
    <row r="102" spans="1:7">
      <c r="A102" s="198"/>
      <c r="B102" s="13"/>
      <c r="C102" s="13"/>
      <c r="D102" s="13" t="s">
        <v>51</v>
      </c>
      <c r="E102" s="13"/>
      <c r="F102" s="425">
        <f>+TB!C261</f>
        <v>1461425.6300000001</v>
      </c>
      <c r="G102" s="451">
        <v>1934397.3199999998</v>
      </c>
    </row>
    <row r="103" spans="1:7" hidden="1">
      <c r="A103" s="198"/>
      <c r="B103" s="13"/>
      <c r="C103" s="13"/>
      <c r="D103" s="13" t="s">
        <v>703</v>
      </c>
      <c r="E103" s="13"/>
      <c r="F103" s="425">
        <f>+TB!C262</f>
        <v>0</v>
      </c>
      <c r="G103" s="451">
        <v>0</v>
      </c>
    </row>
    <row r="104" spans="1:7" hidden="1">
      <c r="A104" s="198"/>
      <c r="B104" s="13"/>
      <c r="C104" s="13"/>
      <c r="D104" s="13" t="s">
        <v>704</v>
      </c>
      <c r="E104" s="13"/>
      <c r="F104" s="425">
        <f>+TB!C263</f>
        <v>0</v>
      </c>
      <c r="G104" s="451">
        <v>0</v>
      </c>
    </row>
    <row r="105" spans="1:7">
      <c r="A105" s="198"/>
      <c r="B105" s="13"/>
      <c r="C105" s="350" t="s">
        <v>882</v>
      </c>
      <c r="D105" s="13"/>
      <c r="E105" s="13"/>
      <c r="F105" s="425"/>
      <c r="G105" s="451"/>
    </row>
    <row r="106" spans="1:7">
      <c r="A106" s="198"/>
      <c r="B106" s="13"/>
      <c r="C106" s="13"/>
      <c r="D106" s="13" t="s">
        <v>52</v>
      </c>
      <c r="E106" s="13"/>
      <c r="F106" s="425">
        <f>+TB!C264</f>
        <v>2560146.62</v>
      </c>
      <c r="G106" s="451">
        <v>3409878.34</v>
      </c>
    </row>
    <row r="107" spans="1:7" hidden="1">
      <c r="A107" s="198"/>
      <c r="B107" s="13"/>
      <c r="C107" s="13"/>
      <c r="D107" s="13" t="s">
        <v>53</v>
      </c>
      <c r="E107" s="13"/>
      <c r="F107" s="425">
        <f>+TB!C265</f>
        <v>0</v>
      </c>
      <c r="G107" s="451">
        <v>0</v>
      </c>
    </row>
    <row r="108" spans="1:7" hidden="1">
      <c r="A108" s="198"/>
      <c r="B108" s="13"/>
      <c r="C108" s="13"/>
      <c r="D108" s="13" t="s">
        <v>705</v>
      </c>
      <c r="E108" s="13"/>
      <c r="F108" s="425">
        <f>+TB!C266</f>
        <v>0</v>
      </c>
      <c r="G108" s="451">
        <v>0</v>
      </c>
    </row>
    <row r="109" spans="1:7" hidden="1">
      <c r="A109" s="198"/>
      <c r="B109" s="13"/>
      <c r="C109" s="13"/>
      <c r="D109" s="13" t="s">
        <v>54</v>
      </c>
      <c r="E109" s="13"/>
      <c r="F109" s="425">
        <f>+TB!C267</f>
        <v>0</v>
      </c>
      <c r="G109" s="451">
        <v>0</v>
      </c>
    </row>
    <row r="110" spans="1:7">
      <c r="A110" s="198"/>
      <c r="B110" s="13"/>
      <c r="C110" s="13"/>
      <c r="D110" s="13" t="s">
        <v>55</v>
      </c>
      <c r="E110" s="13"/>
      <c r="F110" s="425">
        <f>+TB!C268</f>
        <v>652000</v>
      </c>
      <c r="G110" s="451">
        <v>540000</v>
      </c>
    </row>
    <row r="111" spans="1:7" hidden="1">
      <c r="A111" s="198"/>
      <c r="B111" s="13"/>
      <c r="C111" s="13"/>
      <c r="D111" s="13" t="s">
        <v>706</v>
      </c>
      <c r="E111" s="13"/>
      <c r="F111" s="425">
        <f>+TB!C269</f>
        <v>0</v>
      </c>
      <c r="G111" s="451">
        <v>0</v>
      </c>
    </row>
    <row r="112" spans="1:7">
      <c r="A112" s="198"/>
      <c r="B112" s="13"/>
      <c r="C112" s="13"/>
      <c r="D112" s="13" t="s">
        <v>56</v>
      </c>
      <c r="E112" s="13"/>
      <c r="F112" s="425">
        <f>+TB!C270</f>
        <v>22000</v>
      </c>
      <c r="G112" s="451">
        <v>192000</v>
      </c>
    </row>
    <row r="113" spans="1:7" hidden="1">
      <c r="A113" s="198"/>
      <c r="B113" s="13"/>
      <c r="C113" s="13"/>
      <c r="D113" s="13" t="s">
        <v>96</v>
      </c>
      <c r="E113" s="13"/>
      <c r="F113" s="425">
        <f>+TB!C271</f>
        <v>0</v>
      </c>
      <c r="G113" s="451">
        <v>0</v>
      </c>
    </row>
    <row r="114" spans="1:7">
      <c r="A114" s="198"/>
      <c r="B114" s="13"/>
      <c r="C114" s="13"/>
      <c r="D114" s="13" t="s">
        <v>57</v>
      </c>
      <c r="E114" s="13"/>
      <c r="F114" s="425">
        <f>+TB!C272</f>
        <v>584200</v>
      </c>
      <c r="G114" s="451">
        <v>632800</v>
      </c>
    </row>
    <row r="115" spans="1:7" hidden="1">
      <c r="A115" s="198"/>
      <c r="B115" s="13"/>
      <c r="C115" s="13"/>
      <c r="D115" s="13" t="s">
        <v>97</v>
      </c>
      <c r="E115" s="13"/>
      <c r="F115" s="425">
        <f>+TB!C273</f>
        <v>0</v>
      </c>
      <c r="G115" s="451">
        <v>76382.38</v>
      </c>
    </row>
    <row r="116" spans="1:7" hidden="1">
      <c r="A116" s="198"/>
      <c r="B116" s="13"/>
      <c r="C116" s="13"/>
      <c r="D116" s="13" t="s">
        <v>707</v>
      </c>
      <c r="E116" s="13"/>
      <c r="F116" s="425">
        <f>+TB!C274</f>
        <v>0</v>
      </c>
      <c r="G116" s="451">
        <v>0</v>
      </c>
    </row>
    <row r="117" spans="1:7" hidden="1">
      <c r="A117" s="198"/>
      <c r="B117" s="13"/>
      <c r="C117" s="13"/>
      <c r="D117" s="13" t="s">
        <v>58</v>
      </c>
      <c r="E117" s="13"/>
      <c r="F117" s="425">
        <f>+TB!C275</f>
        <v>0</v>
      </c>
      <c r="G117" s="451">
        <v>0</v>
      </c>
    </row>
    <row r="118" spans="1:7">
      <c r="A118" s="198"/>
      <c r="B118" s="13"/>
      <c r="C118" s="13"/>
      <c r="D118" s="13" t="s">
        <v>59</v>
      </c>
      <c r="E118" s="13"/>
      <c r="F118" s="425">
        <f>+TB!C276</f>
        <v>400000</v>
      </c>
      <c r="G118" s="451">
        <v>791000</v>
      </c>
    </row>
    <row r="119" spans="1:7">
      <c r="A119" s="198"/>
      <c r="B119" s="13"/>
      <c r="C119" s="13"/>
      <c r="D119" s="13" t="s">
        <v>60</v>
      </c>
      <c r="E119" s="13"/>
      <c r="F119" s="425">
        <f>+TB!C277</f>
        <v>1314622.5</v>
      </c>
      <c r="G119" s="451">
        <v>2043382</v>
      </c>
    </row>
    <row r="120" spans="1:7">
      <c r="A120" s="198"/>
      <c r="B120" s="13"/>
      <c r="C120" s="350" t="s">
        <v>883</v>
      </c>
      <c r="D120" s="13"/>
      <c r="E120" s="13"/>
      <c r="F120" s="425"/>
      <c r="G120" s="451"/>
    </row>
    <row r="121" spans="1:7">
      <c r="A121" s="198"/>
      <c r="B121" s="13"/>
      <c r="C121" s="13"/>
      <c r="D121" s="13" t="s">
        <v>61</v>
      </c>
      <c r="E121" s="13"/>
      <c r="F121" s="425">
        <f>+TB!C278</f>
        <v>2543914.15</v>
      </c>
      <c r="G121" s="451">
        <v>3069611.4000000004</v>
      </c>
    </row>
    <row r="122" spans="1:7">
      <c r="A122" s="198"/>
      <c r="B122" s="13"/>
      <c r="C122" s="13"/>
      <c r="D122" s="13" t="s">
        <v>62</v>
      </c>
      <c r="E122" s="13"/>
      <c r="F122" s="425">
        <f>+TB!C279</f>
        <v>130500</v>
      </c>
      <c r="G122" s="451">
        <v>173800</v>
      </c>
    </row>
    <row r="123" spans="1:7">
      <c r="A123" s="198"/>
      <c r="B123" s="13"/>
      <c r="C123" s="13"/>
      <c r="D123" s="13" t="s">
        <v>63</v>
      </c>
      <c r="E123" s="13"/>
      <c r="F123" s="425">
        <f>+TB!C280</f>
        <v>262762.5</v>
      </c>
      <c r="G123" s="451">
        <v>308700</v>
      </c>
    </row>
    <row r="124" spans="1:7">
      <c r="A124" s="198"/>
      <c r="B124" s="13"/>
      <c r="C124" s="13"/>
      <c r="D124" s="13" t="s">
        <v>64</v>
      </c>
      <c r="E124" s="13"/>
      <c r="F124" s="425">
        <f>+TB!C281</f>
        <v>129970.53</v>
      </c>
      <c r="G124" s="451">
        <v>171887.5</v>
      </c>
    </row>
    <row r="125" spans="1:7" hidden="1">
      <c r="A125" s="198"/>
      <c r="B125" s="13"/>
      <c r="C125" s="350" t="s">
        <v>66</v>
      </c>
      <c r="D125" s="13"/>
      <c r="E125" s="13"/>
      <c r="F125" s="425"/>
      <c r="G125" s="451"/>
    </row>
    <row r="126" spans="1:7" hidden="1">
      <c r="A126" s="198"/>
      <c r="B126" s="13"/>
      <c r="C126" s="13"/>
      <c r="D126" s="13" t="s">
        <v>708</v>
      </c>
      <c r="E126" s="13"/>
      <c r="F126" s="425">
        <f>+TB!C282</f>
        <v>0</v>
      </c>
      <c r="G126" s="451">
        <v>0</v>
      </c>
    </row>
    <row r="127" spans="1:7" hidden="1">
      <c r="A127" s="198"/>
      <c r="B127" s="13"/>
      <c r="C127" s="13"/>
      <c r="D127" s="13" t="s">
        <v>709</v>
      </c>
      <c r="E127" s="13"/>
      <c r="F127" s="425">
        <f>+TB!C283</f>
        <v>0</v>
      </c>
      <c r="G127" s="451">
        <v>0</v>
      </c>
    </row>
    <row r="128" spans="1:7" hidden="1">
      <c r="A128" s="198"/>
      <c r="B128" s="13"/>
      <c r="C128" s="13"/>
      <c r="D128" s="13" t="s">
        <v>65</v>
      </c>
      <c r="E128" s="13"/>
      <c r="F128" s="425">
        <f>+TB!C284</f>
        <v>0</v>
      </c>
      <c r="G128" s="451">
        <v>0</v>
      </c>
    </row>
    <row r="129" spans="1:9" hidden="1">
      <c r="A129" s="198"/>
      <c r="B129" s="13"/>
      <c r="C129" s="13"/>
      <c r="D129" s="13" t="s">
        <v>710</v>
      </c>
      <c r="E129" s="13"/>
      <c r="F129" s="425">
        <f>+TB!C285</f>
        <v>0</v>
      </c>
      <c r="G129" s="451">
        <v>0</v>
      </c>
    </row>
    <row r="130" spans="1:9" hidden="1">
      <c r="A130" s="198"/>
      <c r="B130" s="13"/>
      <c r="C130" s="13"/>
      <c r="D130" s="13" t="s">
        <v>66</v>
      </c>
      <c r="E130" s="13"/>
      <c r="F130" s="425">
        <f>+TB!C286</f>
        <v>0</v>
      </c>
      <c r="G130" s="451">
        <v>2480900</v>
      </c>
    </row>
    <row r="131" spans="1:9">
      <c r="A131" s="198"/>
      <c r="B131" s="13"/>
      <c r="C131" s="350" t="s">
        <v>884</v>
      </c>
      <c r="D131" s="13"/>
      <c r="E131" s="13"/>
      <c r="F131" s="510">
        <f>SUM(F97:F130)</f>
        <v>29396180.379999999</v>
      </c>
      <c r="G131" s="510">
        <f>SUM(G97:G130)</f>
        <v>39198950.119999997</v>
      </c>
      <c r="I131" s="19"/>
    </row>
    <row r="132" spans="1:9">
      <c r="A132" s="198"/>
      <c r="B132" s="350" t="s">
        <v>243</v>
      </c>
      <c r="C132" s="13"/>
      <c r="D132" s="13"/>
      <c r="E132" s="13"/>
      <c r="F132" s="425"/>
      <c r="G132" s="451"/>
    </row>
    <row r="133" spans="1:9">
      <c r="A133" s="198"/>
      <c r="B133" s="13"/>
      <c r="C133" s="350" t="s">
        <v>885</v>
      </c>
      <c r="D133" s="13"/>
      <c r="E133" s="13"/>
      <c r="F133" s="425"/>
      <c r="G133" s="451"/>
    </row>
    <row r="134" spans="1:9">
      <c r="A134" s="198"/>
      <c r="B134" s="13"/>
      <c r="C134" s="13"/>
      <c r="D134" s="13" t="s">
        <v>213</v>
      </c>
      <c r="E134" s="13"/>
      <c r="F134" s="425">
        <f>+TB!C287</f>
        <v>2961197.5</v>
      </c>
      <c r="G134" s="451">
        <v>4286197</v>
      </c>
    </row>
    <row r="135" spans="1:9" hidden="1">
      <c r="A135" s="198"/>
      <c r="B135" s="13"/>
      <c r="C135" s="13"/>
      <c r="D135" s="13" t="s">
        <v>67</v>
      </c>
      <c r="E135" s="13"/>
      <c r="F135" s="425">
        <f>+TB!C288</f>
        <v>0</v>
      </c>
      <c r="G135" s="451">
        <v>0</v>
      </c>
    </row>
    <row r="136" spans="1:9">
      <c r="A136" s="198"/>
      <c r="B136" s="13"/>
      <c r="C136" s="350" t="s">
        <v>886</v>
      </c>
      <c r="D136" s="13"/>
      <c r="E136" s="13"/>
      <c r="F136" s="425"/>
      <c r="G136" s="451"/>
    </row>
    <row r="137" spans="1:9">
      <c r="A137" s="198"/>
      <c r="B137" s="13"/>
      <c r="C137" s="13"/>
      <c r="D137" s="13" t="s">
        <v>68</v>
      </c>
      <c r="E137" s="13"/>
      <c r="F137" s="425">
        <f>+TB!C289</f>
        <v>282900</v>
      </c>
      <c r="G137" s="451">
        <v>522700</v>
      </c>
    </row>
    <row r="138" spans="1:9" hidden="1">
      <c r="A138" s="198"/>
      <c r="B138" s="13"/>
      <c r="C138" s="13"/>
      <c r="D138" s="13" t="s">
        <v>711</v>
      </c>
      <c r="E138" s="13"/>
      <c r="F138" s="425">
        <f>+TB!C290</f>
        <v>0</v>
      </c>
      <c r="G138" s="451">
        <v>0</v>
      </c>
    </row>
    <row r="139" spans="1:9">
      <c r="A139" s="198"/>
      <c r="B139" s="13"/>
      <c r="C139" s="350" t="s">
        <v>887</v>
      </c>
      <c r="D139" s="13"/>
      <c r="E139" s="13"/>
      <c r="F139" s="425"/>
      <c r="G139" s="451"/>
    </row>
    <row r="140" spans="1:9" hidden="1">
      <c r="A140" s="198"/>
      <c r="B140" s="13"/>
      <c r="C140" s="13"/>
      <c r="D140" s="13" t="s">
        <v>215</v>
      </c>
      <c r="E140" s="13"/>
      <c r="F140" s="425">
        <f>+TB!C291</f>
        <v>24379.5</v>
      </c>
      <c r="G140" s="451">
        <v>0</v>
      </c>
    </row>
    <row r="141" spans="1:9" hidden="1">
      <c r="A141" s="198"/>
      <c r="B141" s="13"/>
      <c r="C141" s="13"/>
      <c r="D141" s="13" t="s">
        <v>712</v>
      </c>
      <c r="E141" s="13"/>
      <c r="F141" s="425">
        <f>+TB!C292</f>
        <v>0</v>
      </c>
      <c r="G141" s="451">
        <v>0</v>
      </c>
    </row>
    <row r="142" spans="1:9" hidden="1">
      <c r="A142" s="198"/>
      <c r="B142" s="13"/>
      <c r="C142" s="13"/>
      <c r="D142" s="13" t="s">
        <v>713</v>
      </c>
      <c r="E142" s="13"/>
      <c r="F142" s="425">
        <f>+TB!C293</f>
        <v>0</v>
      </c>
      <c r="G142" s="451">
        <v>0</v>
      </c>
    </row>
    <row r="143" spans="1:9" hidden="1">
      <c r="A143" s="198"/>
      <c r="B143" s="13"/>
      <c r="C143" s="13"/>
      <c r="D143" s="13" t="s">
        <v>98</v>
      </c>
      <c r="E143" s="13"/>
      <c r="F143" s="425">
        <f>+TB!C294</f>
        <v>1890099.9</v>
      </c>
      <c r="G143" s="451">
        <v>0</v>
      </c>
    </row>
    <row r="144" spans="1:9">
      <c r="A144" s="198"/>
      <c r="B144" s="13"/>
      <c r="C144" s="13"/>
      <c r="D144" s="13" t="s">
        <v>270</v>
      </c>
      <c r="E144" s="13"/>
      <c r="F144" s="425">
        <f>+TB!C295</f>
        <v>9771.5</v>
      </c>
      <c r="G144" s="451">
        <v>11356</v>
      </c>
    </row>
    <row r="145" spans="1:8" hidden="1">
      <c r="A145" s="198"/>
      <c r="B145" s="13"/>
      <c r="C145" s="13"/>
      <c r="D145" s="13" t="s">
        <v>218</v>
      </c>
      <c r="E145" s="13"/>
      <c r="F145" s="425">
        <f>+TB!C296</f>
        <v>0</v>
      </c>
      <c r="G145" s="451">
        <v>0</v>
      </c>
    </row>
    <row r="146" spans="1:8">
      <c r="A146" s="198"/>
      <c r="B146" s="13"/>
      <c r="C146" s="13"/>
      <c r="D146" s="13" t="s">
        <v>69</v>
      </c>
      <c r="E146" s="13"/>
      <c r="F146" s="425">
        <f>+TB!C297</f>
        <v>160787.89000000001</v>
      </c>
      <c r="G146" s="451">
        <v>245624.38</v>
      </c>
    </row>
    <row r="147" spans="1:8" hidden="1">
      <c r="A147" s="198"/>
      <c r="B147" s="13"/>
      <c r="C147" s="13"/>
      <c r="D147" s="13" t="s">
        <v>714</v>
      </c>
      <c r="E147" s="13"/>
      <c r="F147" s="425">
        <f>+TB!C298</f>
        <v>0</v>
      </c>
      <c r="G147" s="451">
        <v>0</v>
      </c>
    </row>
    <row r="148" spans="1:8" hidden="1">
      <c r="A148" s="198"/>
      <c r="B148" s="13"/>
      <c r="C148" s="13"/>
      <c r="D148" s="13" t="s">
        <v>253</v>
      </c>
      <c r="E148" s="13"/>
      <c r="F148" s="425">
        <f>+TB!C299</f>
        <v>0</v>
      </c>
      <c r="G148" s="451">
        <v>0</v>
      </c>
    </row>
    <row r="149" spans="1:8" hidden="1">
      <c r="A149" s="198"/>
      <c r="B149" s="13"/>
      <c r="C149" s="13"/>
      <c r="D149" s="13" t="s">
        <v>715</v>
      </c>
      <c r="E149" s="13"/>
      <c r="F149" s="425">
        <f>+TB!C300</f>
        <v>0</v>
      </c>
      <c r="G149" s="451">
        <v>0</v>
      </c>
    </row>
    <row r="150" spans="1:8" s="13" customFormat="1">
      <c r="A150" s="198"/>
      <c r="D150" s="13" t="s">
        <v>269</v>
      </c>
      <c r="F150" s="425">
        <f>+TB!C301</f>
        <v>536442</v>
      </c>
      <c r="G150" s="451">
        <v>2770387.95</v>
      </c>
      <c r="H150" s="12"/>
    </row>
    <row r="151" spans="1:8">
      <c r="A151" s="198"/>
      <c r="B151" s="13"/>
      <c r="C151" s="350" t="s">
        <v>888</v>
      </c>
      <c r="D151" s="13"/>
      <c r="E151" s="13"/>
      <c r="F151" s="425"/>
      <c r="G151" s="451"/>
    </row>
    <row r="152" spans="1:8" hidden="1">
      <c r="A152" s="198"/>
      <c r="B152" s="13"/>
      <c r="C152" s="13"/>
      <c r="D152" s="13" t="s">
        <v>99</v>
      </c>
      <c r="E152" s="13"/>
      <c r="F152" s="425">
        <f>+TB!C302</f>
        <v>0</v>
      </c>
      <c r="G152" s="451">
        <v>0</v>
      </c>
    </row>
    <row r="153" spans="1:8">
      <c r="A153" s="198"/>
      <c r="B153" s="13"/>
      <c r="C153" s="13"/>
      <c r="D153" s="13" t="s">
        <v>100</v>
      </c>
      <c r="E153" s="13"/>
      <c r="F153" s="425">
        <f>+TB!C303</f>
        <v>603259.9</v>
      </c>
      <c r="G153" s="451">
        <v>227350.55</v>
      </c>
    </row>
    <row r="154" spans="1:8" hidden="1">
      <c r="A154" s="198"/>
      <c r="B154" s="13"/>
      <c r="C154" s="13"/>
      <c r="D154" s="13" t="s">
        <v>716</v>
      </c>
      <c r="E154" s="13"/>
      <c r="F154" s="425">
        <f>+TB!C304</f>
        <v>0</v>
      </c>
      <c r="G154" s="451">
        <v>0</v>
      </c>
    </row>
    <row r="155" spans="1:8" hidden="1">
      <c r="A155" s="198"/>
      <c r="B155" s="13"/>
      <c r="C155" s="350" t="s">
        <v>889</v>
      </c>
      <c r="D155" s="13"/>
      <c r="E155" s="13"/>
      <c r="F155" s="425"/>
      <c r="G155" s="451"/>
    </row>
    <row r="156" spans="1:8" hidden="1">
      <c r="A156" s="198"/>
      <c r="B156" s="13"/>
      <c r="C156" s="13"/>
      <c r="D156" s="13" t="s">
        <v>717</v>
      </c>
      <c r="E156" s="13"/>
      <c r="F156" s="425">
        <f>+TB!C305</f>
        <v>0</v>
      </c>
      <c r="G156" s="451">
        <v>0</v>
      </c>
    </row>
    <row r="157" spans="1:8" hidden="1">
      <c r="A157" s="198"/>
      <c r="B157" s="13"/>
      <c r="C157" s="13"/>
      <c r="D157" s="13" t="s">
        <v>890</v>
      </c>
      <c r="E157" s="13"/>
      <c r="F157" s="425">
        <f>+TB!C306</f>
        <v>0</v>
      </c>
      <c r="G157" s="451">
        <v>0</v>
      </c>
    </row>
    <row r="158" spans="1:8" hidden="1">
      <c r="A158" s="198"/>
      <c r="B158" s="13"/>
      <c r="C158" s="13"/>
      <c r="D158" s="13" t="s">
        <v>271</v>
      </c>
      <c r="E158" s="13"/>
      <c r="F158" s="425">
        <f>+TB!C307</f>
        <v>0</v>
      </c>
      <c r="G158" s="451">
        <v>0</v>
      </c>
    </row>
    <row r="159" spans="1:8" hidden="1">
      <c r="A159" s="198"/>
      <c r="B159" s="13"/>
      <c r="C159" s="13"/>
      <c r="D159" s="13" t="s">
        <v>718</v>
      </c>
      <c r="E159" s="13"/>
      <c r="F159" s="425">
        <f>+TB!C308</f>
        <v>0</v>
      </c>
      <c r="G159" s="451">
        <v>0</v>
      </c>
    </row>
    <row r="160" spans="1:8" hidden="1">
      <c r="A160" s="198"/>
      <c r="B160" s="13"/>
      <c r="C160" s="13"/>
      <c r="D160" s="13" t="s">
        <v>719</v>
      </c>
      <c r="E160" s="13"/>
      <c r="F160" s="425">
        <f>+TB!C309</f>
        <v>0</v>
      </c>
      <c r="G160" s="451">
        <v>0</v>
      </c>
    </row>
    <row r="161" spans="1:7" hidden="1">
      <c r="A161" s="198"/>
      <c r="B161" s="13"/>
      <c r="C161" s="13" t="s">
        <v>720</v>
      </c>
      <c r="D161" s="13"/>
      <c r="E161" s="13"/>
      <c r="F161" s="425">
        <f>+TB!C310</f>
        <v>0</v>
      </c>
      <c r="G161" s="451">
        <v>0</v>
      </c>
    </row>
    <row r="162" spans="1:7" hidden="1">
      <c r="A162" s="198"/>
      <c r="B162" s="13"/>
      <c r="C162" s="13" t="s">
        <v>721</v>
      </c>
      <c r="D162" s="13"/>
      <c r="E162" s="13"/>
      <c r="F162" s="425">
        <f>+TB!C311</f>
        <v>0</v>
      </c>
      <c r="G162" s="451">
        <v>0</v>
      </c>
    </row>
    <row r="163" spans="1:7" hidden="1">
      <c r="A163" s="198"/>
      <c r="B163" s="13"/>
      <c r="C163" s="13" t="s">
        <v>722</v>
      </c>
      <c r="D163" s="13"/>
      <c r="E163" s="13"/>
      <c r="F163" s="425">
        <f>+TB!C312</f>
        <v>0</v>
      </c>
      <c r="G163" s="451">
        <v>0</v>
      </c>
    </row>
    <row r="164" spans="1:7" hidden="1">
      <c r="A164" s="198"/>
      <c r="B164" s="13"/>
      <c r="C164" s="13" t="s">
        <v>286</v>
      </c>
      <c r="D164" s="13"/>
      <c r="E164" s="13"/>
      <c r="F164" s="425">
        <f>+TB!C313</f>
        <v>0</v>
      </c>
      <c r="G164" s="451">
        <v>0</v>
      </c>
    </row>
    <row r="165" spans="1:7" hidden="1">
      <c r="A165" s="198"/>
      <c r="B165" s="13"/>
      <c r="C165" s="13" t="s">
        <v>102</v>
      </c>
      <c r="D165" s="13"/>
      <c r="E165" s="13"/>
      <c r="F165" s="425">
        <f>+TB!C314</f>
        <v>70000</v>
      </c>
      <c r="G165" s="451">
        <v>60000</v>
      </c>
    </row>
    <row r="166" spans="1:7" hidden="1">
      <c r="A166" s="198"/>
      <c r="B166" s="13"/>
      <c r="C166" s="13" t="s">
        <v>254</v>
      </c>
      <c r="D166" s="13"/>
      <c r="E166" s="13"/>
      <c r="F166" s="425">
        <f>+TB!C315</f>
        <v>0</v>
      </c>
      <c r="G166" s="451">
        <v>0</v>
      </c>
    </row>
    <row r="167" spans="1:7" hidden="1">
      <c r="A167" s="198"/>
      <c r="B167" s="13"/>
      <c r="C167" s="13" t="s">
        <v>723</v>
      </c>
      <c r="D167" s="13"/>
      <c r="E167" s="13"/>
      <c r="F167" s="425">
        <f>+TB!C316</f>
        <v>0</v>
      </c>
      <c r="G167" s="451">
        <v>0</v>
      </c>
    </row>
    <row r="168" spans="1:7" hidden="1">
      <c r="A168" s="198"/>
      <c r="B168" s="13"/>
      <c r="C168" s="13" t="s">
        <v>724</v>
      </c>
      <c r="D168" s="13"/>
      <c r="E168" s="13"/>
      <c r="F168" s="425">
        <f>+TB!C317</f>
        <v>0</v>
      </c>
      <c r="G168" s="451">
        <v>0</v>
      </c>
    </row>
    <row r="169" spans="1:7" hidden="1">
      <c r="A169" s="198"/>
      <c r="B169" s="13"/>
      <c r="C169" s="13" t="s">
        <v>725</v>
      </c>
      <c r="D169" s="13"/>
      <c r="E169" s="13"/>
      <c r="F169" s="425">
        <f>+TB!C318</f>
        <v>0</v>
      </c>
      <c r="G169" s="451">
        <v>0</v>
      </c>
    </row>
    <row r="170" spans="1:7" hidden="1">
      <c r="A170" s="198"/>
      <c r="B170" s="13"/>
      <c r="C170" s="13" t="s">
        <v>726</v>
      </c>
      <c r="D170" s="13"/>
      <c r="E170" s="13"/>
      <c r="F170" s="425">
        <f>+TB!C319</f>
        <v>0</v>
      </c>
      <c r="G170" s="451">
        <v>0</v>
      </c>
    </row>
    <row r="171" spans="1:7" hidden="1">
      <c r="A171" s="198"/>
      <c r="B171" s="13"/>
      <c r="C171" s="13" t="s">
        <v>727</v>
      </c>
      <c r="D171" s="13"/>
      <c r="E171" s="13"/>
      <c r="F171" s="425">
        <f>+TB!C320</f>
        <v>0</v>
      </c>
      <c r="G171" s="451">
        <v>0</v>
      </c>
    </row>
    <row r="172" spans="1:7">
      <c r="A172" s="198"/>
      <c r="B172" s="13"/>
      <c r="C172" s="350" t="s">
        <v>891</v>
      </c>
      <c r="D172" s="13"/>
      <c r="E172" s="13"/>
      <c r="F172" s="425"/>
      <c r="G172" s="451"/>
    </row>
    <row r="173" spans="1:7" hidden="1">
      <c r="A173" s="198"/>
      <c r="B173" s="13"/>
      <c r="C173" s="13"/>
      <c r="D173" s="13" t="s">
        <v>728</v>
      </c>
      <c r="E173" s="13"/>
      <c r="F173" s="425">
        <f>+TB!C321</f>
        <v>0</v>
      </c>
      <c r="G173" s="451">
        <v>0</v>
      </c>
    </row>
    <row r="174" spans="1:7" hidden="1">
      <c r="A174" s="198"/>
      <c r="B174" s="13"/>
      <c r="C174" s="13"/>
      <c r="D174" s="13" t="s">
        <v>729</v>
      </c>
      <c r="E174" s="13"/>
      <c r="F174" s="425">
        <f>+TB!C322</f>
        <v>0</v>
      </c>
      <c r="G174" s="451">
        <v>0</v>
      </c>
    </row>
    <row r="175" spans="1:7" hidden="1">
      <c r="A175" s="198"/>
      <c r="B175" s="13"/>
      <c r="C175" s="13"/>
      <c r="D175" s="13" t="s">
        <v>730</v>
      </c>
      <c r="E175" s="13"/>
      <c r="F175" s="425">
        <f>+TB!C323</f>
        <v>0</v>
      </c>
      <c r="G175" s="451">
        <v>0</v>
      </c>
    </row>
    <row r="176" spans="1:7" hidden="1">
      <c r="A176" s="198"/>
      <c r="B176" s="13"/>
      <c r="C176" s="13"/>
      <c r="D176" s="13" t="s">
        <v>731</v>
      </c>
      <c r="E176" s="13"/>
      <c r="F176" s="425">
        <f>+TB!C324</f>
        <v>0</v>
      </c>
      <c r="G176" s="451">
        <v>0</v>
      </c>
    </row>
    <row r="177" spans="1:7" hidden="1">
      <c r="A177" s="198"/>
      <c r="B177" s="13"/>
      <c r="C177" s="13"/>
      <c r="D177" s="13" t="s">
        <v>732</v>
      </c>
      <c r="E177" s="13"/>
      <c r="F177" s="425">
        <f>+TB!C325</f>
        <v>0</v>
      </c>
      <c r="G177" s="451">
        <v>0</v>
      </c>
    </row>
    <row r="178" spans="1:7" hidden="1">
      <c r="A178" s="198"/>
      <c r="B178" s="13"/>
      <c r="C178" s="13"/>
      <c r="D178" s="13" t="s">
        <v>733</v>
      </c>
      <c r="E178" s="13"/>
      <c r="F178" s="425">
        <f>+TB!C326</f>
        <v>0</v>
      </c>
      <c r="G178" s="451">
        <v>0</v>
      </c>
    </row>
    <row r="179" spans="1:7" hidden="1">
      <c r="A179" s="198"/>
      <c r="B179" s="13"/>
      <c r="C179" s="13"/>
      <c r="D179" s="13" t="s">
        <v>734</v>
      </c>
      <c r="E179" s="13"/>
      <c r="F179" s="425">
        <f>+TB!C327</f>
        <v>0</v>
      </c>
      <c r="G179" s="451">
        <v>0</v>
      </c>
    </row>
    <row r="180" spans="1:7">
      <c r="A180" s="198"/>
      <c r="B180" s="13"/>
      <c r="C180" s="13"/>
      <c r="D180" s="13" t="s">
        <v>70</v>
      </c>
      <c r="E180" s="13"/>
      <c r="F180" s="425">
        <f>+TB!C328</f>
        <v>2065761.1199999999</v>
      </c>
      <c r="G180" s="451">
        <v>3010142.24</v>
      </c>
    </row>
    <row r="181" spans="1:7" hidden="1">
      <c r="A181" s="198"/>
      <c r="B181" s="13"/>
      <c r="C181" s="350" t="s">
        <v>892</v>
      </c>
      <c r="D181" s="13"/>
      <c r="E181" s="13"/>
      <c r="F181" s="425"/>
      <c r="G181" s="451"/>
    </row>
    <row r="182" spans="1:7" hidden="1">
      <c r="A182" s="198"/>
      <c r="B182" s="13"/>
      <c r="C182" s="13"/>
      <c r="D182" s="350" t="s">
        <v>825</v>
      </c>
      <c r="E182" s="350"/>
      <c r="F182" s="425"/>
      <c r="G182" s="451"/>
    </row>
    <row r="183" spans="1:7" hidden="1">
      <c r="A183" s="198"/>
      <c r="B183" s="13"/>
      <c r="C183" s="13"/>
      <c r="D183" s="13"/>
      <c r="E183" s="13" t="s">
        <v>735</v>
      </c>
      <c r="F183" s="425">
        <f>+TB!C329</f>
        <v>0</v>
      </c>
      <c r="G183" s="451">
        <v>0</v>
      </c>
    </row>
    <row r="184" spans="1:7" hidden="1">
      <c r="A184" s="198"/>
      <c r="B184" s="13"/>
      <c r="C184" s="13"/>
      <c r="D184" s="13"/>
      <c r="E184" s="13" t="s">
        <v>736</v>
      </c>
      <c r="F184" s="425">
        <f>+TB!C330</f>
        <v>0</v>
      </c>
      <c r="G184" s="451">
        <v>0</v>
      </c>
    </row>
    <row r="185" spans="1:7" hidden="1">
      <c r="A185" s="198"/>
      <c r="B185" s="13"/>
      <c r="C185" s="13"/>
      <c r="D185" s="350" t="s">
        <v>827</v>
      </c>
      <c r="E185" s="13"/>
      <c r="F185" s="425"/>
      <c r="G185" s="451"/>
    </row>
    <row r="186" spans="1:7" hidden="1">
      <c r="A186" s="198"/>
      <c r="B186" s="13"/>
      <c r="C186" s="13"/>
      <c r="D186" s="13"/>
      <c r="E186" s="13" t="s">
        <v>737</v>
      </c>
      <c r="F186" s="425">
        <f>+TB!C331</f>
        <v>0</v>
      </c>
      <c r="G186" s="451">
        <v>0</v>
      </c>
    </row>
    <row r="187" spans="1:7" hidden="1">
      <c r="A187" s="198"/>
      <c r="B187" s="13"/>
      <c r="C187" s="13"/>
      <c r="D187" s="13"/>
      <c r="E187" s="13" t="s">
        <v>272</v>
      </c>
      <c r="F187" s="425">
        <f>+TB!C332</f>
        <v>0</v>
      </c>
      <c r="G187" s="451">
        <v>0</v>
      </c>
    </row>
    <row r="188" spans="1:7" hidden="1">
      <c r="A188" s="198"/>
      <c r="B188" s="13"/>
      <c r="C188" s="13"/>
      <c r="D188" s="13"/>
      <c r="E188" s="13" t="s">
        <v>738</v>
      </c>
      <c r="F188" s="425">
        <f>+TB!C333</f>
        <v>0</v>
      </c>
      <c r="G188" s="451">
        <v>0</v>
      </c>
    </row>
    <row r="189" spans="1:7" hidden="1">
      <c r="A189" s="198"/>
      <c r="B189" s="13"/>
      <c r="C189" s="13"/>
      <c r="D189" s="13"/>
      <c r="E189" s="13" t="s">
        <v>739</v>
      </c>
      <c r="F189" s="425">
        <f>+TB!C334</f>
        <v>0</v>
      </c>
      <c r="G189" s="451">
        <v>0</v>
      </c>
    </row>
    <row r="190" spans="1:7" hidden="1">
      <c r="A190" s="198"/>
      <c r="B190" s="13"/>
      <c r="C190" s="13"/>
      <c r="D190" s="13"/>
      <c r="E190" s="13" t="s">
        <v>273</v>
      </c>
      <c r="F190" s="425">
        <f>+TB!C335</f>
        <v>0</v>
      </c>
      <c r="G190" s="451">
        <v>0</v>
      </c>
    </row>
    <row r="191" spans="1:7" hidden="1">
      <c r="A191" s="198"/>
      <c r="B191" s="13"/>
      <c r="C191" s="13"/>
      <c r="D191" s="350" t="s">
        <v>829</v>
      </c>
      <c r="E191" s="13"/>
      <c r="F191" s="425"/>
      <c r="G191" s="451"/>
    </row>
    <row r="192" spans="1:7" hidden="1">
      <c r="A192" s="198"/>
      <c r="B192" s="13"/>
      <c r="C192" s="13"/>
      <c r="D192" s="13"/>
      <c r="E192" s="13" t="s">
        <v>740</v>
      </c>
      <c r="F192" s="425">
        <f>+TB!C336</f>
        <v>0</v>
      </c>
      <c r="G192" s="451">
        <v>0</v>
      </c>
    </row>
    <row r="193" spans="1:8" hidden="1">
      <c r="A193" s="198"/>
      <c r="B193" s="13"/>
      <c r="C193" s="13"/>
      <c r="D193" s="13"/>
      <c r="E193" s="13" t="s">
        <v>741</v>
      </c>
      <c r="F193" s="425">
        <f>+TB!C337</f>
        <v>0</v>
      </c>
      <c r="G193" s="451">
        <v>0</v>
      </c>
    </row>
    <row r="194" spans="1:8" hidden="1">
      <c r="A194" s="198"/>
      <c r="B194" s="13"/>
      <c r="C194" s="13"/>
      <c r="D194" s="13"/>
      <c r="E194" s="13" t="s">
        <v>742</v>
      </c>
      <c r="F194" s="425">
        <f>+TB!C338</f>
        <v>0</v>
      </c>
      <c r="G194" s="451">
        <v>0</v>
      </c>
    </row>
    <row r="195" spans="1:8" hidden="1">
      <c r="A195" s="198"/>
      <c r="B195" s="13"/>
      <c r="C195" s="13"/>
      <c r="D195" s="350" t="s">
        <v>831</v>
      </c>
      <c r="E195" s="13"/>
      <c r="F195" s="425"/>
      <c r="G195" s="451"/>
    </row>
    <row r="196" spans="1:8" hidden="1">
      <c r="A196" s="198"/>
      <c r="B196" s="13"/>
      <c r="C196" s="13"/>
      <c r="D196" s="13"/>
      <c r="E196" s="13" t="s">
        <v>893</v>
      </c>
      <c r="F196" s="425">
        <f>+TB!C339</f>
        <v>0</v>
      </c>
      <c r="G196" s="451">
        <v>0</v>
      </c>
    </row>
    <row r="197" spans="1:8" hidden="1">
      <c r="A197" s="198"/>
      <c r="B197" s="13"/>
      <c r="C197" s="13"/>
      <c r="D197" s="13"/>
      <c r="E197" s="13" t="s">
        <v>744</v>
      </c>
      <c r="F197" s="425">
        <f>+TB!C340</f>
        <v>0</v>
      </c>
      <c r="G197" s="451">
        <v>0</v>
      </c>
    </row>
    <row r="198" spans="1:8" hidden="1">
      <c r="A198" s="198"/>
      <c r="B198" s="13"/>
      <c r="C198" s="13"/>
      <c r="D198" s="13"/>
      <c r="E198" s="13" t="s">
        <v>745</v>
      </c>
      <c r="F198" s="425">
        <f>+TB!C341</f>
        <v>0</v>
      </c>
      <c r="G198" s="451">
        <v>0</v>
      </c>
    </row>
    <row r="199" spans="1:8" hidden="1">
      <c r="A199" s="198"/>
      <c r="B199" s="13"/>
      <c r="C199" s="13"/>
      <c r="D199" s="350" t="s">
        <v>833</v>
      </c>
      <c r="E199" s="13"/>
      <c r="F199" s="425"/>
      <c r="G199" s="451"/>
    </row>
    <row r="200" spans="1:8" hidden="1">
      <c r="A200" s="198"/>
      <c r="B200" s="13"/>
      <c r="C200" s="13"/>
      <c r="D200" s="13"/>
      <c r="E200" s="13" t="s">
        <v>746</v>
      </c>
      <c r="F200" s="425">
        <f>+TB!C342</f>
        <v>0</v>
      </c>
      <c r="G200" s="451">
        <v>0</v>
      </c>
    </row>
    <row r="201" spans="1:8" hidden="1">
      <c r="A201" s="198"/>
      <c r="B201" s="13"/>
      <c r="C201" s="13"/>
      <c r="D201" s="13"/>
      <c r="E201" s="13" t="s">
        <v>747</v>
      </c>
      <c r="F201" s="425">
        <f>+TB!C343</f>
        <v>0</v>
      </c>
      <c r="G201" s="451">
        <v>0</v>
      </c>
    </row>
    <row r="202" spans="1:8" hidden="1">
      <c r="A202" s="198"/>
      <c r="B202" s="13"/>
      <c r="C202" s="13"/>
      <c r="D202" s="13"/>
      <c r="E202" s="13" t="s">
        <v>748</v>
      </c>
      <c r="F202" s="425">
        <f>+TB!C344</f>
        <v>0</v>
      </c>
      <c r="G202" s="451">
        <v>0</v>
      </c>
    </row>
    <row r="203" spans="1:8" hidden="1">
      <c r="A203" s="198"/>
      <c r="B203" s="13"/>
      <c r="C203" s="13"/>
      <c r="D203" s="13"/>
      <c r="E203" s="13" t="s">
        <v>71</v>
      </c>
      <c r="F203" s="425">
        <f>+TB!C345</f>
        <v>0</v>
      </c>
      <c r="G203" s="451">
        <v>0</v>
      </c>
    </row>
    <row r="204" spans="1:8" hidden="1">
      <c r="A204" s="198"/>
      <c r="B204" s="13"/>
      <c r="C204" s="13"/>
      <c r="D204" s="13"/>
      <c r="E204" s="13" t="s">
        <v>749</v>
      </c>
      <c r="F204" s="425">
        <f>+TB!C346</f>
        <v>0</v>
      </c>
      <c r="G204" s="451">
        <v>0</v>
      </c>
    </row>
    <row r="205" spans="1:8" hidden="1">
      <c r="A205" s="198"/>
      <c r="B205" s="13"/>
      <c r="C205" s="13"/>
      <c r="D205" s="13"/>
      <c r="E205" s="13" t="s">
        <v>750</v>
      </c>
      <c r="F205" s="425">
        <f>+TB!C347</f>
        <v>0</v>
      </c>
      <c r="G205" s="451">
        <v>0</v>
      </c>
    </row>
    <row r="206" spans="1:8" hidden="1">
      <c r="A206" s="198"/>
      <c r="B206" s="13"/>
      <c r="C206" s="13"/>
      <c r="D206" s="13"/>
      <c r="E206" s="13" t="s">
        <v>751</v>
      </c>
      <c r="F206" s="425">
        <f>+TB!C348</f>
        <v>0</v>
      </c>
      <c r="G206" s="451">
        <v>0</v>
      </c>
    </row>
    <row r="207" spans="1:8" hidden="1">
      <c r="A207" s="198"/>
      <c r="B207" s="13"/>
      <c r="C207" s="13"/>
      <c r="D207" s="13"/>
      <c r="E207" s="13" t="s">
        <v>752</v>
      </c>
      <c r="F207" s="425">
        <f>+TB!C349</f>
        <v>0</v>
      </c>
      <c r="G207" s="451">
        <v>0</v>
      </c>
    </row>
    <row r="208" spans="1:8" s="13" customFormat="1" hidden="1">
      <c r="A208" s="198"/>
      <c r="E208" s="13" t="s">
        <v>753</v>
      </c>
      <c r="F208" s="425">
        <f>+TB!C350</f>
        <v>0</v>
      </c>
      <c r="G208" s="451">
        <v>0</v>
      </c>
      <c r="H208" s="12"/>
    </row>
    <row r="209" spans="1:7" hidden="1">
      <c r="A209" s="198"/>
      <c r="B209" s="13"/>
      <c r="C209" s="13"/>
      <c r="D209" s="13"/>
      <c r="E209" s="13" t="s">
        <v>754</v>
      </c>
      <c r="F209" s="425">
        <f>+TB!C351</f>
        <v>0</v>
      </c>
      <c r="G209" s="451">
        <v>0</v>
      </c>
    </row>
    <row r="210" spans="1:7" hidden="1">
      <c r="A210" s="198"/>
      <c r="B210" s="13"/>
      <c r="C210" s="13"/>
      <c r="D210" s="13"/>
      <c r="E210" s="13" t="s">
        <v>755</v>
      </c>
      <c r="F210" s="425">
        <f>+TB!C352</f>
        <v>0</v>
      </c>
      <c r="G210" s="451">
        <v>0</v>
      </c>
    </row>
    <row r="211" spans="1:7" hidden="1">
      <c r="A211" s="198"/>
      <c r="B211" s="13"/>
      <c r="C211" s="13"/>
      <c r="D211" s="350" t="s">
        <v>894</v>
      </c>
      <c r="E211" s="13"/>
      <c r="F211" s="425"/>
      <c r="G211" s="451"/>
    </row>
    <row r="212" spans="1:7" hidden="1">
      <c r="A212" s="198"/>
      <c r="B212" s="13"/>
      <c r="C212" s="13"/>
      <c r="D212" s="13"/>
      <c r="E212" s="13" t="s">
        <v>756</v>
      </c>
      <c r="F212" s="425">
        <f>+TB!C353</f>
        <v>67550</v>
      </c>
      <c r="G212" s="451">
        <v>0</v>
      </c>
    </row>
    <row r="213" spans="1:7" hidden="1">
      <c r="A213" s="198"/>
      <c r="B213" s="13"/>
      <c r="C213" s="13"/>
      <c r="D213" s="13"/>
      <c r="E213" s="13" t="s">
        <v>757</v>
      </c>
      <c r="F213" s="425">
        <f>+TB!C354</f>
        <v>0</v>
      </c>
      <c r="G213" s="451">
        <v>0</v>
      </c>
    </row>
    <row r="214" spans="1:7" hidden="1">
      <c r="A214" s="198"/>
      <c r="B214" s="13"/>
      <c r="C214" s="13"/>
      <c r="D214" s="13"/>
      <c r="E214" s="13" t="s">
        <v>758</v>
      </c>
      <c r="F214" s="425">
        <f>+TB!C355</f>
        <v>0</v>
      </c>
      <c r="G214" s="451">
        <v>0</v>
      </c>
    </row>
    <row r="215" spans="1:7" hidden="1">
      <c r="A215" s="198"/>
      <c r="B215" s="13"/>
      <c r="C215" s="13"/>
      <c r="D215" s="350" t="s">
        <v>247</v>
      </c>
      <c r="E215" s="13"/>
      <c r="F215" s="425"/>
      <c r="G215" s="451"/>
    </row>
    <row r="216" spans="1:7" hidden="1">
      <c r="A216" s="198"/>
      <c r="B216" s="13"/>
      <c r="C216" s="13"/>
      <c r="D216" s="13"/>
      <c r="E216" s="13" t="s">
        <v>759</v>
      </c>
      <c r="F216" s="425">
        <f>+TB!C356</f>
        <v>0</v>
      </c>
      <c r="G216" s="451">
        <v>0</v>
      </c>
    </row>
    <row r="217" spans="1:7" hidden="1">
      <c r="A217" s="198"/>
      <c r="B217" s="13"/>
      <c r="C217" s="13"/>
      <c r="D217" s="350" t="s">
        <v>895</v>
      </c>
      <c r="E217" s="13"/>
      <c r="F217" s="425"/>
      <c r="G217" s="451"/>
    </row>
    <row r="218" spans="1:7" hidden="1">
      <c r="A218" s="198"/>
      <c r="B218" s="13"/>
      <c r="C218" s="13"/>
      <c r="D218" s="13"/>
      <c r="E218" s="13" t="s">
        <v>760</v>
      </c>
      <c r="F218" s="425">
        <f>+TB!C357</f>
        <v>0</v>
      </c>
      <c r="G218" s="451">
        <v>0</v>
      </c>
    </row>
    <row r="219" spans="1:7" hidden="1">
      <c r="A219" s="198"/>
      <c r="B219" s="13"/>
      <c r="C219" s="13"/>
      <c r="D219" s="13"/>
      <c r="E219" s="13" t="s">
        <v>761</v>
      </c>
      <c r="F219" s="425">
        <f>+TB!C358</f>
        <v>0</v>
      </c>
      <c r="G219" s="451">
        <v>0</v>
      </c>
    </row>
    <row r="220" spans="1:7" hidden="1">
      <c r="A220" s="198"/>
      <c r="B220" s="13"/>
      <c r="C220" s="13"/>
      <c r="D220" s="13"/>
      <c r="E220" s="13" t="s">
        <v>762</v>
      </c>
      <c r="F220" s="425">
        <f>+TB!C359</f>
        <v>0</v>
      </c>
      <c r="G220" s="451">
        <v>0</v>
      </c>
    </row>
    <row r="221" spans="1:7" hidden="1">
      <c r="A221" s="198"/>
      <c r="B221" s="13"/>
      <c r="C221" s="13"/>
      <c r="D221" s="13"/>
      <c r="E221" s="38" t="s">
        <v>763</v>
      </c>
      <c r="F221" s="425">
        <f>+TB!C360</f>
        <v>0</v>
      </c>
      <c r="G221" s="451">
        <v>0</v>
      </c>
    </row>
    <row r="222" spans="1:7" hidden="1">
      <c r="A222" s="198"/>
      <c r="B222" s="13"/>
      <c r="C222" s="13"/>
      <c r="D222" s="13"/>
      <c r="E222" s="13" t="s">
        <v>764</v>
      </c>
      <c r="F222" s="425">
        <f>+TB!C361</f>
        <v>0</v>
      </c>
      <c r="G222" s="451">
        <v>0</v>
      </c>
    </row>
    <row r="223" spans="1:7" hidden="1">
      <c r="A223" s="198"/>
      <c r="B223" s="13"/>
      <c r="C223" s="13"/>
      <c r="D223" s="13"/>
      <c r="E223" s="13" t="s">
        <v>765</v>
      </c>
      <c r="F223" s="425">
        <f>+TB!C362</f>
        <v>0</v>
      </c>
      <c r="G223" s="451">
        <v>0</v>
      </c>
    </row>
    <row r="224" spans="1:7" hidden="1">
      <c r="A224" s="198"/>
      <c r="B224" s="13"/>
      <c r="C224" s="13"/>
      <c r="D224" s="13"/>
      <c r="E224" s="38" t="s">
        <v>766</v>
      </c>
      <c r="F224" s="425">
        <f>+TB!C363</f>
        <v>0</v>
      </c>
      <c r="G224" s="451">
        <v>0</v>
      </c>
    </row>
    <row r="225" spans="1:7" hidden="1">
      <c r="A225" s="198"/>
      <c r="B225" s="13"/>
      <c r="C225" s="13"/>
      <c r="D225" s="13"/>
      <c r="E225" s="13" t="s">
        <v>767</v>
      </c>
      <c r="F225" s="425">
        <f>+TB!C364</f>
        <v>0</v>
      </c>
      <c r="G225" s="451">
        <v>0</v>
      </c>
    </row>
    <row r="226" spans="1:7" hidden="1">
      <c r="A226" s="198"/>
      <c r="B226" s="13"/>
      <c r="C226" s="13"/>
      <c r="D226" s="350" t="s">
        <v>842</v>
      </c>
      <c r="E226" s="13"/>
      <c r="F226" s="425"/>
      <c r="G226" s="451"/>
    </row>
    <row r="227" spans="1:7" hidden="1">
      <c r="A227" s="198"/>
      <c r="B227" s="13"/>
      <c r="C227" s="13"/>
      <c r="D227" s="13"/>
      <c r="E227" s="13" t="s">
        <v>768</v>
      </c>
      <c r="F227" s="425">
        <f>+TB!C365</f>
        <v>0</v>
      </c>
      <c r="G227" s="451">
        <v>0</v>
      </c>
    </row>
    <row r="228" spans="1:7" hidden="1">
      <c r="A228" s="198"/>
      <c r="B228" s="13"/>
      <c r="C228" s="13"/>
      <c r="D228" s="13"/>
      <c r="E228" s="13" t="s">
        <v>769</v>
      </c>
      <c r="F228" s="425">
        <f>+TB!C366</f>
        <v>0</v>
      </c>
      <c r="G228" s="451">
        <v>0</v>
      </c>
    </row>
    <row r="229" spans="1:7" hidden="1">
      <c r="A229" s="198"/>
      <c r="B229" s="13"/>
      <c r="C229" s="350" t="s">
        <v>896</v>
      </c>
      <c r="D229" s="12"/>
      <c r="E229" s="13"/>
      <c r="F229" s="425"/>
      <c r="G229" s="451"/>
    </row>
    <row r="230" spans="1:7" hidden="1">
      <c r="A230" s="198"/>
      <c r="B230" s="13"/>
      <c r="C230" s="13"/>
      <c r="D230" s="13" t="s">
        <v>772</v>
      </c>
      <c r="E230" s="12"/>
      <c r="F230" s="425">
        <f>+TB!C373</f>
        <v>0</v>
      </c>
      <c r="G230" s="451">
        <v>0</v>
      </c>
    </row>
    <row r="231" spans="1:7" hidden="1">
      <c r="A231" s="198"/>
      <c r="B231" s="13"/>
      <c r="C231" s="13"/>
      <c r="D231" s="13" t="s">
        <v>773</v>
      </c>
      <c r="E231" s="12"/>
      <c r="F231" s="425">
        <f>+TB!C374</f>
        <v>0</v>
      </c>
      <c r="G231" s="451">
        <v>0</v>
      </c>
    </row>
    <row r="232" spans="1:7" hidden="1">
      <c r="A232" s="198"/>
      <c r="B232" s="13"/>
      <c r="C232" s="13"/>
      <c r="D232" s="13" t="s">
        <v>774</v>
      </c>
      <c r="E232" s="12"/>
      <c r="F232" s="425">
        <f>+TB!C375</f>
        <v>0</v>
      </c>
      <c r="G232" s="451">
        <v>0</v>
      </c>
    </row>
    <row r="233" spans="1:7" hidden="1">
      <c r="A233" s="198"/>
      <c r="B233" s="13"/>
      <c r="C233" s="13"/>
      <c r="D233" s="13" t="s">
        <v>775</v>
      </c>
      <c r="E233" s="12"/>
      <c r="F233" s="425">
        <f>+TB!C376</f>
        <v>0</v>
      </c>
      <c r="G233" s="451">
        <v>0</v>
      </c>
    </row>
    <row r="234" spans="1:7" hidden="1">
      <c r="A234" s="198"/>
      <c r="B234" s="13"/>
      <c r="C234" s="350" t="s">
        <v>898</v>
      </c>
      <c r="D234" s="13"/>
      <c r="E234" s="12"/>
      <c r="F234" s="425"/>
      <c r="G234" s="451"/>
    </row>
    <row r="235" spans="1:7" hidden="1">
      <c r="A235" s="198"/>
      <c r="B235" s="13"/>
      <c r="C235" s="13"/>
      <c r="D235" s="13" t="s">
        <v>512</v>
      </c>
      <c r="E235" s="12"/>
      <c r="F235" s="425">
        <f>+TB!C377</f>
        <v>0</v>
      </c>
      <c r="G235" s="451">
        <v>283031.63999999996</v>
      </c>
    </row>
    <row r="236" spans="1:7" hidden="1">
      <c r="A236" s="198"/>
      <c r="B236" s="13"/>
      <c r="C236" s="13"/>
      <c r="D236" s="13" t="s">
        <v>776</v>
      </c>
      <c r="E236" s="12"/>
      <c r="F236" s="425">
        <f>+TB!C378</f>
        <v>0</v>
      </c>
      <c r="G236" s="451">
        <v>0</v>
      </c>
    </row>
    <row r="237" spans="1:7" hidden="1">
      <c r="A237" s="198"/>
      <c r="B237" s="13"/>
      <c r="C237" s="13"/>
      <c r="D237" s="13" t="s">
        <v>105</v>
      </c>
      <c r="E237" s="12"/>
      <c r="F237" s="425">
        <f>+TB!C379</f>
        <v>0</v>
      </c>
      <c r="G237" s="451">
        <v>33750</v>
      </c>
    </row>
    <row r="238" spans="1:7">
      <c r="A238" s="198"/>
      <c r="B238" s="350" t="s">
        <v>897</v>
      </c>
      <c r="C238" s="13"/>
      <c r="D238" s="12"/>
      <c r="E238" s="13"/>
      <c r="F238" s="425"/>
      <c r="G238" s="451"/>
    </row>
    <row r="239" spans="1:7">
      <c r="A239" s="198"/>
      <c r="B239" s="350"/>
      <c r="C239" s="350" t="s">
        <v>899</v>
      </c>
      <c r="D239" s="12"/>
      <c r="E239" s="13"/>
      <c r="F239" s="425"/>
      <c r="G239" s="451"/>
    </row>
    <row r="240" spans="1:7" hidden="1">
      <c r="A240" s="198"/>
      <c r="B240" s="13"/>
      <c r="C240" s="13"/>
      <c r="D240" s="350" t="s">
        <v>825</v>
      </c>
      <c r="E240" s="13"/>
      <c r="F240" s="425"/>
      <c r="G240" s="451"/>
    </row>
    <row r="241" spans="1:8" hidden="1">
      <c r="A241" s="198"/>
      <c r="B241" s="13"/>
      <c r="C241" s="13"/>
      <c r="D241" s="350"/>
      <c r="E241" s="13" t="s">
        <v>777</v>
      </c>
      <c r="F241" s="425">
        <f>+TB!C380</f>
        <v>0</v>
      </c>
      <c r="G241" s="451">
        <v>0</v>
      </c>
    </row>
    <row r="242" spans="1:8" hidden="1">
      <c r="A242" s="198"/>
      <c r="B242" s="13"/>
      <c r="C242" s="13"/>
      <c r="D242" s="350"/>
      <c r="E242" s="13" t="s">
        <v>778</v>
      </c>
      <c r="F242" s="425">
        <f>+TB!C381</f>
        <v>0</v>
      </c>
      <c r="G242" s="451">
        <v>0</v>
      </c>
    </row>
    <row r="243" spans="1:8">
      <c r="A243" s="198"/>
      <c r="B243" s="13"/>
      <c r="C243" s="13"/>
      <c r="D243" s="350" t="s">
        <v>827</v>
      </c>
      <c r="E243" s="13"/>
      <c r="F243" s="425"/>
      <c r="G243" s="451"/>
    </row>
    <row r="244" spans="1:8" hidden="1">
      <c r="A244" s="198"/>
      <c r="B244" s="13"/>
      <c r="C244" s="13"/>
      <c r="D244" s="350"/>
      <c r="E244" s="13" t="s">
        <v>779</v>
      </c>
      <c r="F244" s="425">
        <f>+TB!C382</f>
        <v>0</v>
      </c>
      <c r="G244" s="451">
        <v>0</v>
      </c>
    </row>
    <row r="245" spans="1:8" s="13" customFormat="1">
      <c r="A245" s="198"/>
      <c r="D245" s="350"/>
      <c r="E245" s="13" t="s">
        <v>365</v>
      </c>
      <c r="F245" s="425">
        <f>+TB!C383</f>
        <v>677572.4800000001</v>
      </c>
      <c r="G245" s="451">
        <v>775044.4800000001</v>
      </c>
      <c r="H245" s="12"/>
    </row>
    <row r="246" spans="1:8" hidden="1">
      <c r="A246" s="198"/>
      <c r="B246" s="13"/>
      <c r="C246" s="13"/>
      <c r="D246" s="350"/>
      <c r="E246" s="13" t="s">
        <v>780</v>
      </c>
      <c r="F246" s="425">
        <f>+TB!C384</f>
        <v>0</v>
      </c>
      <c r="G246" s="451">
        <v>0</v>
      </c>
    </row>
    <row r="247" spans="1:8" hidden="1">
      <c r="A247" s="198"/>
      <c r="B247" s="13"/>
      <c r="C247" s="13"/>
      <c r="D247" s="350"/>
      <c r="E247" s="13" t="s">
        <v>781</v>
      </c>
      <c r="F247" s="425">
        <f>+TB!C385</f>
        <v>0</v>
      </c>
      <c r="G247" s="451">
        <v>0</v>
      </c>
    </row>
    <row r="248" spans="1:8" hidden="1">
      <c r="A248" s="198"/>
      <c r="B248" s="13"/>
      <c r="C248" s="13"/>
      <c r="D248" s="350"/>
      <c r="E248" s="13" t="s">
        <v>782</v>
      </c>
      <c r="F248" s="425">
        <f>+TB!C386</f>
        <v>0</v>
      </c>
      <c r="G248" s="451">
        <v>0</v>
      </c>
    </row>
    <row r="249" spans="1:8" hidden="1">
      <c r="A249" s="198"/>
      <c r="B249" s="13"/>
      <c r="C249" s="13"/>
      <c r="D249" s="350" t="s">
        <v>829</v>
      </c>
      <c r="E249" s="13"/>
      <c r="F249" s="425"/>
      <c r="G249" s="451"/>
    </row>
    <row r="250" spans="1:8" hidden="1">
      <c r="A250" s="198"/>
      <c r="B250" s="13"/>
      <c r="C250" s="13"/>
      <c r="D250" s="350"/>
      <c r="E250" s="13" t="s">
        <v>783</v>
      </c>
      <c r="F250" s="425">
        <f>+TB!C387</f>
        <v>0</v>
      </c>
      <c r="G250" s="451">
        <v>0</v>
      </c>
    </row>
    <row r="251" spans="1:8" hidden="1">
      <c r="A251" s="198"/>
      <c r="B251" s="13"/>
      <c r="C251" s="13"/>
      <c r="D251" s="350"/>
      <c r="E251" s="13" t="s">
        <v>784</v>
      </c>
      <c r="F251" s="425">
        <f>+TB!C388</f>
        <v>0</v>
      </c>
      <c r="G251" s="451">
        <v>0</v>
      </c>
    </row>
    <row r="252" spans="1:8" hidden="1">
      <c r="A252" s="198"/>
      <c r="B252" s="13"/>
      <c r="C252" s="13"/>
      <c r="D252" s="350"/>
      <c r="E252" s="13" t="s">
        <v>785</v>
      </c>
      <c r="F252" s="425">
        <f>+TB!C389</f>
        <v>0</v>
      </c>
      <c r="G252" s="451">
        <v>0</v>
      </c>
    </row>
    <row r="253" spans="1:8">
      <c r="A253" s="198"/>
      <c r="B253" s="13"/>
      <c r="C253" s="13"/>
      <c r="D253" s="350" t="s">
        <v>831</v>
      </c>
      <c r="E253" s="13"/>
      <c r="F253" s="425"/>
      <c r="G253" s="451"/>
    </row>
    <row r="254" spans="1:8" s="13" customFormat="1">
      <c r="A254" s="198"/>
      <c r="D254" s="350"/>
      <c r="E254" s="13" t="s">
        <v>319</v>
      </c>
      <c r="F254" s="425">
        <f>+TB!C390</f>
        <v>6993</v>
      </c>
      <c r="G254" s="425">
        <v>13986</v>
      </c>
      <c r="H254" s="12"/>
    </row>
    <row r="255" spans="1:8" hidden="1">
      <c r="A255" s="198"/>
      <c r="B255" s="13"/>
      <c r="C255" s="13"/>
      <c r="D255" s="350"/>
      <c r="E255" s="13" t="s">
        <v>786</v>
      </c>
      <c r="F255" s="425">
        <f>+TB!C391</f>
        <v>0</v>
      </c>
      <c r="G255" s="451">
        <v>0</v>
      </c>
    </row>
    <row r="256" spans="1:8" s="13" customFormat="1">
      <c r="A256" s="198"/>
      <c r="D256" s="350"/>
      <c r="E256" s="13" t="s">
        <v>322</v>
      </c>
      <c r="F256" s="425">
        <f>+TB!C392</f>
        <v>20877.75</v>
      </c>
      <c r="G256" s="451">
        <v>181941</v>
      </c>
      <c r="H256" s="12"/>
    </row>
    <row r="257" spans="1:8" hidden="1">
      <c r="A257" s="198"/>
      <c r="B257" s="13"/>
      <c r="C257" s="13"/>
      <c r="D257" s="350"/>
      <c r="E257" s="13" t="s">
        <v>787</v>
      </c>
      <c r="F257" s="425">
        <f>+TB!C393</f>
        <v>0</v>
      </c>
      <c r="G257" s="451">
        <v>0</v>
      </c>
    </row>
    <row r="258" spans="1:8" s="13" customFormat="1">
      <c r="A258" s="198"/>
      <c r="D258" s="350" t="s">
        <v>833</v>
      </c>
      <c r="F258" s="425"/>
      <c r="G258" s="451"/>
      <c r="H258" s="12"/>
    </row>
    <row r="259" spans="1:8" hidden="1">
      <c r="A259" s="198"/>
      <c r="B259" s="13"/>
      <c r="C259" s="13"/>
      <c r="D259" s="350"/>
      <c r="E259" s="13" t="s">
        <v>788</v>
      </c>
      <c r="F259" s="425">
        <f>+TB!C394</f>
        <v>0</v>
      </c>
      <c r="G259" s="451">
        <v>0</v>
      </c>
    </row>
    <row r="260" spans="1:8" hidden="1">
      <c r="A260" s="198"/>
      <c r="B260" s="13"/>
      <c r="C260" s="13"/>
      <c r="D260" s="350"/>
      <c r="E260" s="13" t="s">
        <v>789</v>
      </c>
      <c r="F260" s="425">
        <f>+TB!C395</f>
        <v>0</v>
      </c>
      <c r="G260" s="451">
        <v>0</v>
      </c>
    </row>
    <row r="261" spans="1:8" s="13" customFormat="1">
      <c r="A261" s="198"/>
      <c r="D261" s="350"/>
      <c r="E261" s="13" t="s">
        <v>321</v>
      </c>
      <c r="F261" s="425">
        <f>+TB!C396</f>
        <v>1559.25</v>
      </c>
      <c r="G261" s="451">
        <v>2079</v>
      </c>
      <c r="H261" s="12"/>
    </row>
    <row r="262" spans="1:8" hidden="1">
      <c r="A262" s="198"/>
      <c r="B262" s="13"/>
      <c r="C262" s="13"/>
      <c r="D262" s="350"/>
      <c r="E262" s="13" t="s">
        <v>790</v>
      </c>
      <c r="F262" s="425">
        <f>+TB!C397</f>
        <v>0</v>
      </c>
      <c r="G262" s="451">
        <v>0</v>
      </c>
    </row>
    <row r="263" spans="1:8" hidden="1">
      <c r="A263" s="198"/>
      <c r="B263" s="13"/>
      <c r="C263" s="13"/>
      <c r="D263" s="350"/>
      <c r="E263" s="13" t="s">
        <v>791</v>
      </c>
      <c r="F263" s="425">
        <f>+TB!C398</f>
        <v>0</v>
      </c>
      <c r="G263" s="451">
        <v>0</v>
      </c>
    </row>
    <row r="264" spans="1:8" hidden="1">
      <c r="A264" s="198"/>
      <c r="B264" s="13"/>
      <c r="C264" s="13"/>
      <c r="D264" s="350"/>
      <c r="E264" s="13" t="s">
        <v>792</v>
      </c>
      <c r="F264" s="425">
        <f>+TB!C399</f>
        <v>0</v>
      </c>
      <c r="G264" s="451">
        <v>0</v>
      </c>
    </row>
    <row r="265" spans="1:8" hidden="1">
      <c r="A265" s="198"/>
      <c r="B265" s="13"/>
      <c r="C265" s="13"/>
      <c r="D265" s="350"/>
      <c r="E265" s="13" t="s">
        <v>793</v>
      </c>
      <c r="F265" s="425">
        <f>+TB!C400</f>
        <v>0</v>
      </c>
      <c r="G265" s="451">
        <v>0</v>
      </c>
    </row>
    <row r="266" spans="1:8" hidden="1">
      <c r="A266" s="198"/>
      <c r="B266" s="13"/>
      <c r="C266" s="13"/>
      <c r="D266" s="350"/>
      <c r="E266" s="13" t="s">
        <v>794</v>
      </c>
      <c r="F266" s="425">
        <f>+TB!C401</f>
        <v>0</v>
      </c>
      <c r="G266" s="451">
        <v>0</v>
      </c>
    </row>
    <row r="267" spans="1:8">
      <c r="A267" s="198"/>
      <c r="B267" s="13"/>
      <c r="C267" s="13"/>
      <c r="D267" s="350"/>
      <c r="E267" s="13" t="s">
        <v>275</v>
      </c>
      <c r="F267" s="425">
        <f>+TB!C402</f>
        <v>31018.32</v>
      </c>
      <c r="G267" s="451">
        <v>41357.760000000009</v>
      </c>
    </row>
    <row r="268" spans="1:8">
      <c r="A268" s="198"/>
      <c r="B268" s="13"/>
      <c r="C268" s="13"/>
      <c r="D268" s="350"/>
      <c r="E268" s="13" t="s">
        <v>107</v>
      </c>
      <c r="F268" s="425">
        <f>+TB!C403</f>
        <v>5238</v>
      </c>
      <c r="G268" s="451">
        <v>6984</v>
      </c>
    </row>
    <row r="269" spans="1:8" hidden="1">
      <c r="A269" s="198"/>
      <c r="B269" s="13"/>
      <c r="C269" s="13"/>
      <c r="D269" s="350"/>
      <c r="E269" s="13" t="s">
        <v>795</v>
      </c>
      <c r="F269" s="425">
        <f>+TB!C404</f>
        <v>0</v>
      </c>
      <c r="G269" s="451">
        <v>0</v>
      </c>
    </row>
    <row r="270" spans="1:8">
      <c r="A270" s="198"/>
      <c r="B270" s="13"/>
      <c r="C270" s="13"/>
      <c r="D270" s="350" t="s">
        <v>837</v>
      </c>
      <c r="E270" s="13"/>
      <c r="F270" s="425"/>
      <c r="G270" s="451"/>
    </row>
    <row r="271" spans="1:8" hidden="1">
      <c r="A271" s="198"/>
      <c r="B271" s="13"/>
      <c r="C271" s="13"/>
      <c r="D271" s="350"/>
      <c r="E271" s="13" t="s">
        <v>796</v>
      </c>
      <c r="F271" s="425">
        <f>+TB!C405</f>
        <v>0</v>
      </c>
      <c r="G271" s="451">
        <v>0</v>
      </c>
    </row>
    <row r="272" spans="1:8" hidden="1">
      <c r="A272" s="198"/>
      <c r="B272" s="13"/>
      <c r="C272" s="13"/>
      <c r="D272" s="350"/>
      <c r="E272" s="13" t="s">
        <v>797</v>
      </c>
      <c r="F272" s="425">
        <f>+TB!C406</f>
        <v>0</v>
      </c>
      <c r="G272" s="451">
        <v>0</v>
      </c>
    </row>
    <row r="273" spans="1:9" hidden="1">
      <c r="A273" s="198"/>
      <c r="B273" s="13"/>
      <c r="C273" s="13"/>
      <c r="D273" s="350"/>
      <c r="E273" s="13" t="s">
        <v>798</v>
      </c>
      <c r="F273" s="425">
        <f>+TB!C407</f>
        <v>0</v>
      </c>
      <c r="G273" s="451">
        <v>0</v>
      </c>
    </row>
    <row r="274" spans="1:9">
      <c r="A274" s="447"/>
      <c r="B274" s="14"/>
      <c r="C274" s="14"/>
      <c r="D274" s="509" t="s">
        <v>247</v>
      </c>
      <c r="E274" s="14"/>
      <c r="F274" s="450"/>
      <c r="G274" s="451"/>
    </row>
    <row r="275" spans="1:9">
      <c r="A275" s="198"/>
      <c r="B275" s="13"/>
      <c r="C275" s="13"/>
      <c r="D275" s="350"/>
      <c r="E275" s="13" t="s">
        <v>296</v>
      </c>
      <c r="F275" s="425">
        <f>+TB!C408</f>
        <v>9396</v>
      </c>
      <c r="G275" s="451">
        <v>10935.9</v>
      </c>
      <c r="I275" s="19"/>
    </row>
    <row r="276" spans="1:9" hidden="1">
      <c r="A276" s="198"/>
      <c r="B276" s="13"/>
      <c r="C276" s="13" t="s">
        <v>799</v>
      </c>
      <c r="D276" s="350"/>
      <c r="E276" s="13"/>
      <c r="F276" s="425">
        <f>+TB!C409</f>
        <v>0</v>
      </c>
      <c r="G276" s="451"/>
      <c r="I276" s="19"/>
    </row>
    <row r="277" spans="1:9">
      <c r="A277" s="198"/>
      <c r="B277" s="13"/>
      <c r="C277" s="350" t="s">
        <v>73</v>
      </c>
      <c r="D277" s="350"/>
      <c r="E277" s="13"/>
      <c r="F277" s="425"/>
      <c r="G277" s="451"/>
    </row>
    <row r="278" spans="1:9" hidden="1">
      <c r="A278" s="198"/>
      <c r="B278" s="13"/>
      <c r="C278" s="13"/>
      <c r="D278" s="350" t="s">
        <v>801</v>
      </c>
      <c r="E278" s="13"/>
      <c r="F278" s="425">
        <f>+TB!C412</f>
        <v>0</v>
      </c>
      <c r="G278" s="451">
        <v>0</v>
      </c>
    </row>
    <row r="279" spans="1:9" hidden="1">
      <c r="A279" s="198"/>
      <c r="B279" s="13"/>
      <c r="C279" s="13"/>
      <c r="D279" s="350" t="s">
        <v>802</v>
      </c>
      <c r="E279" s="13"/>
      <c r="F279" s="425">
        <f>+TB!C413</f>
        <v>0</v>
      </c>
      <c r="G279" s="451">
        <v>0</v>
      </c>
    </row>
    <row r="280" spans="1:9">
      <c r="A280" s="198"/>
      <c r="B280" s="13"/>
      <c r="C280" s="13"/>
      <c r="D280" s="350" t="s">
        <v>73</v>
      </c>
      <c r="E280" s="13"/>
      <c r="F280" s="425">
        <f>+TB!C414</f>
        <v>347250</v>
      </c>
      <c r="G280" s="451">
        <v>460800</v>
      </c>
    </row>
    <row r="281" spans="1:9">
      <c r="A281" s="198"/>
      <c r="B281" s="350" t="s">
        <v>244</v>
      </c>
      <c r="C281" s="13"/>
      <c r="D281" s="350"/>
      <c r="E281" s="13"/>
      <c r="F281" s="510">
        <f>SUM(F133:F280)+F131</f>
        <v>39168234.490000002</v>
      </c>
      <c r="G281" s="510">
        <f>SUM(G133:G280)+G131</f>
        <v>52142618.019999996</v>
      </c>
      <c r="I281" s="19"/>
    </row>
    <row r="282" spans="1:9" hidden="1">
      <c r="A282" s="198" t="s">
        <v>900</v>
      </c>
      <c r="B282" s="13"/>
      <c r="C282" s="13"/>
      <c r="D282" s="350"/>
      <c r="E282" s="13"/>
      <c r="F282" s="510">
        <f>+F94-F281</f>
        <v>19201724.539999999</v>
      </c>
      <c r="G282" s="510">
        <f>+G94-G281</f>
        <v>12435645.890000008</v>
      </c>
    </row>
    <row r="283" spans="1:9" hidden="1">
      <c r="A283" s="198"/>
      <c r="B283" s="350" t="s">
        <v>901</v>
      </c>
      <c r="C283" s="13"/>
      <c r="D283" s="350"/>
      <c r="E283" s="13"/>
      <c r="F283" s="425"/>
      <c r="G283" s="451"/>
    </row>
    <row r="284" spans="1:9" hidden="1">
      <c r="A284" s="198"/>
      <c r="B284" s="13"/>
      <c r="C284" s="13" t="s">
        <v>74</v>
      </c>
      <c r="D284" s="350"/>
      <c r="E284" s="13"/>
      <c r="F284" s="425">
        <f>+TB!C415</f>
        <v>0</v>
      </c>
      <c r="G284" s="451">
        <v>0</v>
      </c>
    </row>
    <row r="285" spans="1:9" hidden="1">
      <c r="A285" s="198"/>
      <c r="B285" s="13"/>
      <c r="C285" s="350" t="s">
        <v>245</v>
      </c>
      <c r="D285" s="350"/>
      <c r="E285" s="13"/>
      <c r="F285" s="425"/>
      <c r="G285" s="451"/>
    </row>
    <row r="286" spans="1:9" hidden="1">
      <c r="A286" s="198"/>
      <c r="B286" s="13"/>
      <c r="C286" s="13" t="s">
        <v>803</v>
      </c>
      <c r="D286" s="350"/>
      <c r="E286" s="13"/>
      <c r="F286" s="425">
        <f>+TB!C416</f>
        <v>0</v>
      </c>
      <c r="G286" s="451">
        <v>0</v>
      </c>
    </row>
    <row r="287" spans="1:9" hidden="1">
      <c r="A287" s="198"/>
      <c r="B287" s="13"/>
      <c r="C287" s="13" t="s">
        <v>804</v>
      </c>
      <c r="D287" s="350"/>
      <c r="E287" s="13"/>
      <c r="F287" s="425">
        <f>+TB!C417</f>
        <v>0</v>
      </c>
      <c r="G287" s="451">
        <v>0</v>
      </c>
    </row>
    <row r="288" spans="1:9" hidden="1">
      <c r="A288" s="198"/>
      <c r="B288" s="13"/>
      <c r="C288" s="13" t="s">
        <v>805</v>
      </c>
      <c r="D288" s="13"/>
      <c r="E288" s="13"/>
      <c r="F288" s="425">
        <f>+TB!C418</f>
        <v>0</v>
      </c>
      <c r="G288" s="451">
        <v>0</v>
      </c>
    </row>
    <row r="289" spans="1:9" hidden="1">
      <c r="A289" s="198" t="s">
        <v>902</v>
      </c>
      <c r="B289" s="13"/>
      <c r="C289" s="13"/>
      <c r="D289" s="13"/>
      <c r="E289" s="13"/>
      <c r="F289" s="510">
        <f>+F282-SUM(F284:F288)</f>
        <v>19201724.539999999</v>
      </c>
      <c r="G289" s="510">
        <f>+G282-SUM(G284:G288)</f>
        <v>12435645.890000008</v>
      </c>
    </row>
    <row r="290" spans="1:9" hidden="1">
      <c r="A290" s="417" t="s">
        <v>903</v>
      </c>
      <c r="B290" s="13"/>
      <c r="C290" s="13" t="s">
        <v>685</v>
      </c>
      <c r="D290" s="13"/>
      <c r="E290" s="13"/>
      <c r="F290" s="425">
        <f>+TB!E238</f>
        <v>0</v>
      </c>
      <c r="G290" s="451">
        <v>0</v>
      </c>
    </row>
    <row r="291" spans="1:9" hidden="1">
      <c r="A291" s="198"/>
      <c r="B291" s="13"/>
      <c r="C291" s="13" t="s">
        <v>686</v>
      </c>
      <c r="D291" s="13"/>
      <c r="E291" s="13"/>
      <c r="F291" s="425">
        <f>+TB!E239</f>
        <v>0</v>
      </c>
      <c r="G291" s="451">
        <v>0</v>
      </c>
    </row>
    <row r="292" spans="1:9" hidden="1">
      <c r="A292" s="198"/>
      <c r="B292" s="13"/>
      <c r="C292" s="13" t="s">
        <v>687</v>
      </c>
      <c r="D292" s="13"/>
      <c r="E292" s="13"/>
      <c r="F292" s="425">
        <f>+TB!E240</f>
        <v>0</v>
      </c>
      <c r="G292" s="451">
        <v>0</v>
      </c>
    </row>
    <row r="293" spans="1:9" hidden="1">
      <c r="A293" s="198"/>
      <c r="B293" s="13"/>
      <c r="C293" s="13"/>
      <c r="D293" s="350" t="s">
        <v>246</v>
      </c>
      <c r="E293" s="13"/>
      <c r="F293" s="510">
        <f>SUM(F290:F292)</f>
        <v>0</v>
      </c>
      <c r="G293" s="510">
        <f>SUM(G290:G292)</f>
        <v>0</v>
      </c>
    </row>
    <row r="294" spans="1:9" hidden="1">
      <c r="A294" s="375" t="s">
        <v>904</v>
      </c>
      <c r="B294" s="13"/>
      <c r="C294" s="13" t="s">
        <v>255</v>
      </c>
      <c r="D294" s="13"/>
      <c r="E294" s="13"/>
      <c r="F294" s="425">
        <f>+TB!C367</f>
        <v>0</v>
      </c>
      <c r="G294" s="451">
        <v>0</v>
      </c>
    </row>
    <row r="295" spans="1:9" hidden="1">
      <c r="A295" s="198"/>
      <c r="B295" s="13"/>
      <c r="C295" s="13" t="s">
        <v>103</v>
      </c>
      <c r="D295" s="13"/>
      <c r="E295" s="13"/>
      <c r="F295" s="425">
        <f>+TB!C368</f>
        <v>0</v>
      </c>
      <c r="G295" s="451">
        <v>0</v>
      </c>
    </row>
    <row r="296" spans="1:9" hidden="1">
      <c r="A296" s="198"/>
      <c r="B296" s="13"/>
      <c r="C296" s="13" t="s">
        <v>770</v>
      </c>
      <c r="D296" s="13"/>
      <c r="E296" s="13"/>
      <c r="F296" s="425">
        <f>+TB!C369</f>
        <v>0</v>
      </c>
      <c r="G296" s="451">
        <v>0</v>
      </c>
    </row>
    <row r="297" spans="1:9" hidden="1">
      <c r="A297" s="198"/>
      <c r="B297" s="13"/>
      <c r="C297" s="13" t="s">
        <v>104</v>
      </c>
      <c r="D297" s="13"/>
      <c r="E297" s="13"/>
      <c r="F297" s="425">
        <f>+TB!C370</f>
        <v>0</v>
      </c>
      <c r="G297" s="451">
        <v>0</v>
      </c>
    </row>
    <row r="298" spans="1:9" hidden="1">
      <c r="A298" s="198"/>
      <c r="B298" s="13"/>
      <c r="C298" s="13" t="s">
        <v>771</v>
      </c>
      <c r="D298" s="13"/>
      <c r="E298" s="13"/>
      <c r="F298" s="425">
        <f>+TB!C371</f>
        <v>0</v>
      </c>
      <c r="G298" s="451">
        <v>0</v>
      </c>
    </row>
    <row r="299" spans="1:9" hidden="1">
      <c r="A299" s="198"/>
      <c r="B299" s="13"/>
      <c r="C299" s="13" t="s">
        <v>72</v>
      </c>
      <c r="D299" s="13"/>
      <c r="E299" s="13"/>
      <c r="F299" s="425">
        <f>+TB!C372</f>
        <v>0</v>
      </c>
      <c r="G299" s="451">
        <v>0</v>
      </c>
    </row>
    <row r="300" spans="1:9" hidden="1">
      <c r="A300" s="198"/>
      <c r="B300" s="13"/>
      <c r="C300" s="13"/>
      <c r="D300" s="350" t="s">
        <v>246</v>
      </c>
      <c r="E300" s="13"/>
      <c r="F300" s="510">
        <f>SUM(F294:F299)</f>
        <v>0</v>
      </c>
      <c r="G300" s="510">
        <f>SUM(G294:G299)</f>
        <v>0</v>
      </c>
    </row>
    <row r="301" spans="1:9" hidden="1">
      <c r="A301" s="198" t="s">
        <v>905</v>
      </c>
      <c r="B301" s="13"/>
      <c r="C301" s="13"/>
      <c r="D301" s="350"/>
      <c r="E301" s="13"/>
      <c r="F301" s="510">
        <f>+F289+F293-F300</f>
        <v>19201724.539999999</v>
      </c>
      <c r="G301" s="510">
        <f>+G289+G293-G300</f>
        <v>12435645.890000008</v>
      </c>
      <c r="I301" s="19"/>
    </row>
    <row r="302" spans="1:9" hidden="1">
      <c r="A302" s="417" t="s">
        <v>906</v>
      </c>
      <c r="B302" s="13"/>
      <c r="C302" s="13"/>
      <c r="D302" s="350"/>
      <c r="E302" s="13"/>
      <c r="F302" s="425"/>
      <c r="G302" s="451"/>
    </row>
    <row r="303" spans="1:9" hidden="1">
      <c r="A303" s="198"/>
      <c r="B303" s="13"/>
      <c r="C303" s="350" t="s">
        <v>907</v>
      </c>
      <c r="D303" s="350"/>
      <c r="E303" s="13"/>
      <c r="F303" s="425"/>
      <c r="G303" s="451"/>
    </row>
    <row r="304" spans="1:9" hidden="1">
      <c r="A304" s="198"/>
      <c r="B304" s="13"/>
      <c r="C304" s="350" t="s">
        <v>698</v>
      </c>
      <c r="D304" s="350"/>
      <c r="E304" s="13"/>
      <c r="F304" s="425">
        <f>+TB!E254</f>
        <v>0</v>
      </c>
      <c r="G304" s="451">
        <v>0</v>
      </c>
    </row>
    <row r="305" spans="1:10" hidden="1">
      <c r="A305" s="198"/>
      <c r="B305" s="13"/>
      <c r="C305" s="350" t="s">
        <v>699</v>
      </c>
      <c r="D305" s="350"/>
      <c r="E305" s="13"/>
      <c r="F305" s="425">
        <f>+TB!E255</f>
        <v>0</v>
      </c>
      <c r="G305" s="451">
        <v>0</v>
      </c>
    </row>
    <row r="306" spans="1:10" ht="13.5" thickBot="1">
      <c r="A306" s="447" t="s">
        <v>971</v>
      </c>
      <c r="B306" s="14"/>
      <c r="C306" s="14"/>
      <c r="D306" s="509"/>
      <c r="E306" s="14"/>
      <c r="F306" s="511">
        <f>SUM(F301:F305)</f>
        <v>19201724.539999999</v>
      </c>
      <c r="G306" s="511">
        <f>SUM(G301:G305)</f>
        <v>12435645.890000008</v>
      </c>
      <c r="I306" s="19"/>
      <c r="J306" s="19"/>
    </row>
    <row r="307" spans="1:10" ht="13.5" thickTop="1">
      <c r="D307" s="344"/>
      <c r="E307"/>
      <c r="F307" s="12"/>
      <c r="G307" s="12"/>
    </row>
    <row r="308" spans="1:10">
      <c r="D308" s="344"/>
      <c r="E308"/>
      <c r="F308" s="12"/>
      <c r="G308" s="12"/>
    </row>
    <row r="309" spans="1:10">
      <c r="D309" s="344"/>
      <c r="E309"/>
      <c r="F309" s="12"/>
      <c r="G309" s="12"/>
    </row>
    <row r="310" spans="1:10">
      <c r="D310" s="344"/>
      <c r="E310"/>
      <c r="F310" s="12"/>
      <c r="G310" s="12"/>
    </row>
    <row r="311" spans="1:10">
      <c r="D311" s="344"/>
      <c r="E311"/>
      <c r="F311" s="12"/>
      <c r="G311" s="12"/>
    </row>
    <row r="312" spans="1:10">
      <c r="H312" s="11"/>
    </row>
    <row r="313" spans="1:10">
      <c r="H313" s="11"/>
    </row>
    <row r="314" spans="1:10">
      <c r="H314" s="153"/>
    </row>
    <row r="315" spans="1:10">
      <c r="H315" s="11"/>
    </row>
    <row r="316" spans="1:10">
      <c r="H316" s="11"/>
    </row>
    <row r="317" spans="1:10">
      <c r="H317" s="11"/>
    </row>
    <row r="318" spans="1:10">
      <c r="H318" s="11"/>
    </row>
  </sheetData>
  <mergeCells count="5">
    <mergeCell ref="A2:G2"/>
    <mergeCell ref="A3:G3"/>
    <mergeCell ref="A4:G4"/>
    <mergeCell ref="A5:G5"/>
    <mergeCell ref="A6:G6"/>
  </mergeCells>
  <phoneticPr fontId="11" type="noConversion"/>
  <printOptions horizontalCentered="1"/>
  <pageMargins left="0.78" right="0.56999999999999995" top="0.74" bottom="0.86" header="0.25" footer="0.63"/>
  <pageSetup paperSize="5" orientation="portrait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9"/>
  <sheetViews>
    <sheetView workbookViewId="0">
      <pane xSplit="6" ySplit="7" topLeftCell="G38" activePane="bottomRight" state="frozen"/>
      <selection pane="topRight" activeCell="G1" sqref="G1"/>
      <selection pane="bottomLeft" activeCell="A8" sqref="A8"/>
      <selection pane="bottomRight" activeCell="AR22" sqref="AR22"/>
    </sheetView>
  </sheetViews>
  <sheetFormatPr defaultRowHeight="12.75"/>
  <cols>
    <col min="1" max="3" width="2" customWidth="1"/>
    <col min="4" max="4" width="56.5703125" customWidth="1"/>
    <col min="5" max="5" width="15.140625" customWidth="1"/>
    <col min="6" max="6" width="14.7109375" customWidth="1"/>
    <col min="7" max="7" width="14.5703125" bestFit="1" customWidth="1"/>
    <col min="8" max="11" width="14" bestFit="1" customWidth="1"/>
    <col min="12" max="12" width="13.5703125" bestFit="1" customWidth="1"/>
    <col min="13" max="19" width="12.85546875" bestFit="1" customWidth="1"/>
    <col min="20" max="20" width="14" bestFit="1" customWidth="1"/>
    <col min="21" max="23" width="13.5703125" bestFit="1" customWidth="1"/>
    <col min="24" max="24" width="14.5703125" bestFit="1" customWidth="1"/>
    <col min="25" max="28" width="13.5703125" bestFit="1" customWidth="1"/>
    <col min="29" max="29" width="14" bestFit="1" customWidth="1"/>
    <col min="30" max="32" width="12.85546875" bestFit="1" customWidth="1"/>
    <col min="33" max="33" width="14.5703125" bestFit="1" customWidth="1"/>
    <col min="34" max="40" width="13.5703125" bestFit="1" customWidth="1"/>
    <col min="41" max="42" width="12.85546875" bestFit="1" customWidth="1"/>
    <col min="43" max="43" width="13.5703125" bestFit="1" customWidth="1"/>
    <col min="44" max="45" width="12.85546875" bestFit="1" customWidth="1"/>
    <col min="46" max="46" width="13.5703125" bestFit="1" customWidth="1"/>
    <col min="47" max="47" width="12.85546875" bestFit="1" customWidth="1"/>
    <col min="48" max="48" width="11.28515625" bestFit="1" customWidth="1"/>
    <col min="49" max="49" width="11.85546875" bestFit="1" customWidth="1"/>
    <col min="50" max="50" width="11.28515625" bestFit="1" customWidth="1"/>
    <col min="51" max="51" width="10.85546875" bestFit="1" customWidth="1"/>
    <col min="52" max="52" width="11.85546875" bestFit="1" customWidth="1"/>
    <col min="53" max="53" width="10.85546875" bestFit="1" customWidth="1"/>
    <col min="54" max="56" width="11.28515625" bestFit="1" customWidth="1"/>
    <col min="58" max="58" width="12.85546875" bestFit="1" customWidth="1"/>
    <col min="59" max="59" width="13.5703125" bestFit="1" customWidth="1"/>
  </cols>
  <sheetData>
    <row r="1" spans="1:59">
      <c r="D1" s="190"/>
      <c r="E1" s="190"/>
      <c r="F1" s="8"/>
      <c r="H1" s="19"/>
    </row>
    <row r="2" spans="1:59" ht="18">
      <c r="B2" s="191"/>
      <c r="C2" s="191"/>
      <c r="D2" s="694" t="s">
        <v>352</v>
      </c>
      <c r="E2" s="694"/>
      <c r="F2" s="694"/>
      <c r="H2" s="19"/>
    </row>
    <row r="3" spans="1:59" ht="18">
      <c r="B3" s="191"/>
      <c r="C3" s="191"/>
      <c r="D3" s="694" t="s">
        <v>117</v>
      </c>
      <c r="E3" s="694"/>
      <c r="F3" s="694"/>
      <c r="H3" s="19"/>
    </row>
    <row r="4" spans="1:59" ht="15.75">
      <c r="B4" s="191"/>
      <c r="C4" s="191"/>
      <c r="D4" s="730" t="str">
        <f>+IS!A4</f>
        <v>SPECIAL EDUCATION  FUND</v>
      </c>
      <c r="E4" s="730"/>
      <c r="F4" s="730"/>
      <c r="H4" s="19"/>
    </row>
    <row r="5" spans="1:59" ht="15.75">
      <c r="B5" s="191"/>
      <c r="C5" s="191"/>
      <c r="D5" s="730" t="s">
        <v>1003</v>
      </c>
      <c r="E5" s="730"/>
      <c r="F5" s="730"/>
      <c r="H5" s="19"/>
    </row>
    <row r="6" spans="1:59">
      <c r="A6" s="731" t="s">
        <v>1004</v>
      </c>
      <c r="B6" s="731"/>
      <c r="C6" s="731"/>
      <c r="D6" s="731"/>
      <c r="E6" s="731"/>
      <c r="F6" s="731"/>
      <c r="H6" s="19"/>
    </row>
    <row r="7" spans="1:59" ht="13.5" thickBot="1">
      <c r="A7" s="553"/>
      <c r="B7" s="553"/>
      <c r="C7" s="553"/>
      <c r="D7" s="553"/>
      <c r="E7" s="553"/>
      <c r="F7" s="553"/>
      <c r="H7" s="727" t="s">
        <v>15</v>
      </c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9"/>
      <c r="U7" s="727" t="s">
        <v>266</v>
      </c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9"/>
      <c r="AH7" s="727" t="s">
        <v>18</v>
      </c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9"/>
      <c r="AU7" s="727" t="s">
        <v>288</v>
      </c>
      <c r="AV7" s="728"/>
      <c r="AW7" s="728"/>
      <c r="AX7" s="728"/>
      <c r="AY7" s="728"/>
      <c r="AZ7" s="728"/>
      <c r="BA7" s="728"/>
      <c r="BB7" s="728"/>
      <c r="BC7" s="728"/>
      <c r="BD7" s="728"/>
      <c r="BE7" s="728"/>
      <c r="BF7" s="728"/>
      <c r="BG7" s="729"/>
    </row>
    <row r="8" spans="1:59">
      <c r="A8" s="553"/>
      <c r="B8" s="553"/>
      <c r="C8" s="553"/>
      <c r="D8" s="553"/>
      <c r="E8" s="553"/>
      <c r="F8" s="553"/>
      <c r="H8" s="536" t="s">
        <v>259</v>
      </c>
      <c r="I8" s="18" t="s">
        <v>260</v>
      </c>
      <c r="J8" s="18" t="s">
        <v>261</v>
      </c>
      <c r="K8" s="18" t="s">
        <v>262</v>
      </c>
      <c r="L8" s="18" t="s">
        <v>263</v>
      </c>
      <c r="M8" s="18" t="s">
        <v>264</v>
      </c>
      <c r="N8" s="18" t="s">
        <v>256</v>
      </c>
      <c r="O8" s="18" t="s">
        <v>257</v>
      </c>
      <c r="P8" s="18" t="s">
        <v>327</v>
      </c>
      <c r="Q8" s="18" t="s">
        <v>250</v>
      </c>
      <c r="R8" s="18" t="s">
        <v>251</v>
      </c>
      <c r="S8" s="18" t="s">
        <v>328</v>
      </c>
      <c r="T8" s="193" t="s">
        <v>118</v>
      </c>
      <c r="U8" s="536" t="s">
        <v>259</v>
      </c>
      <c r="V8" s="12" t="s">
        <v>260</v>
      </c>
      <c r="W8" s="18" t="s">
        <v>261</v>
      </c>
      <c r="X8" s="18" t="s">
        <v>262</v>
      </c>
      <c r="Y8" s="18" t="s">
        <v>263</v>
      </c>
      <c r="Z8" s="18" t="s">
        <v>264</v>
      </c>
      <c r="AA8" s="18" t="s">
        <v>256</v>
      </c>
      <c r="AB8" s="18" t="s">
        <v>257</v>
      </c>
      <c r="AC8" s="18" t="s">
        <v>258</v>
      </c>
      <c r="AD8" s="18" t="s">
        <v>329</v>
      </c>
      <c r="AE8" s="18" t="s">
        <v>251</v>
      </c>
      <c r="AF8" s="18" t="s">
        <v>328</v>
      </c>
      <c r="AG8" s="537" t="s">
        <v>119</v>
      </c>
      <c r="AH8" s="536" t="s">
        <v>259</v>
      </c>
      <c r="AI8" s="18" t="s">
        <v>260</v>
      </c>
      <c r="AJ8" s="18" t="s">
        <v>261</v>
      </c>
      <c r="AK8" s="18" t="s">
        <v>262</v>
      </c>
      <c r="AL8" s="18" t="s">
        <v>263</v>
      </c>
      <c r="AM8" s="18" t="s">
        <v>264</v>
      </c>
      <c r="AN8" s="18" t="s">
        <v>256</v>
      </c>
      <c r="AO8" s="18" t="s">
        <v>257</v>
      </c>
      <c r="AP8" s="18" t="s">
        <v>258</v>
      </c>
      <c r="AQ8" s="18" t="s">
        <v>329</v>
      </c>
      <c r="AR8" s="18" t="s">
        <v>251</v>
      </c>
      <c r="AS8" s="18" t="s">
        <v>328</v>
      </c>
      <c r="AT8" s="537" t="s">
        <v>118</v>
      </c>
      <c r="AU8" s="536" t="s">
        <v>259</v>
      </c>
      <c r="AV8" s="18" t="s">
        <v>260</v>
      </c>
      <c r="AW8" s="18" t="s">
        <v>261</v>
      </c>
      <c r="AX8" s="18" t="s">
        <v>262</v>
      </c>
      <c r="AY8" s="18" t="s">
        <v>263</v>
      </c>
      <c r="AZ8" s="18" t="s">
        <v>264</v>
      </c>
      <c r="BA8" s="18" t="s">
        <v>256</v>
      </c>
      <c r="BB8" s="18" t="s">
        <v>257</v>
      </c>
      <c r="BC8" s="18" t="s">
        <v>258</v>
      </c>
      <c r="BD8" s="13" t="s">
        <v>250</v>
      </c>
      <c r="BE8" s="13" t="s">
        <v>299</v>
      </c>
      <c r="BF8" s="13" t="s">
        <v>252</v>
      </c>
      <c r="BG8" s="194" t="s">
        <v>119</v>
      </c>
    </row>
    <row r="9" spans="1:59">
      <c r="A9" s="494"/>
      <c r="B9" s="489"/>
      <c r="C9" s="489"/>
      <c r="D9" s="489"/>
      <c r="E9" s="497">
        <v>2011</v>
      </c>
      <c r="F9" s="493">
        <v>2010</v>
      </c>
      <c r="H9" s="53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51">
        <f>SUM(H9:S9)</f>
        <v>0</v>
      </c>
      <c r="U9" s="538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451">
        <f>SUM(U9:AF9)</f>
        <v>0</v>
      </c>
      <c r="AH9" s="538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451">
        <f>SUM(AH9:AS9)</f>
        <v>0</v>
      </c>
      <c r="AU9" s="538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451">
        <f>SUM(AU9:BF9)</f>
        <v>0</v>
      </c>
    </row>
    <row r="10" spans="1:59">
      <c r="A10" s="495" t="s">
        <v>120</v>
      </c>
      <c r="B10" s="13"/>
      <c r="C10" s="13"/>
      <c r="D10" s="13"/>
      <c r="E10" s="498"/>
      <c r="F10" s="15"/>
      <c r="H10" s="53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51">
        <f t="shared" ref="T10:T52" si="0">SUM(H10:S10)</f>
        <v>0</v>
      </c>
      <c r="U10" s="538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451">
        <f t="shared" ref="AG10:AG52" si="1">SUM(U10:AF10)</f>
        <v>0</v>
      </c>
      <c r="AH10" s="538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451">
        <f t="shared" ref="AT10:AT52" si="2">SUM(AH10:AS10)</f>
        <v>0</v>
      </c>
      <c r="AU10" s="538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451">
        <f t="shared" ref="BG10:BG52" si="3">SUM(AU10:BF10)</f>
        <v>0</v>
      </c>
    </row>
    <row r="11" spans="1:59">
      <c r="A11" s="459"/>
      <c r="B11" s="490" t="s">
        <v>121</v>
      </c>
      <c r="C11" s="490"/>
      <c r="D11" s="13"/>
      <c r="E11" s="498"/>
      <c r="F11" s="15"/>
      <c r="H11" s="53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51">
        <f t="shared" si="0"/>
        <v>0</v>
      </c>
      <c r="U11" s="538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451">
        <f t="shared" si="1"/>
        <v>0</v>
      </c>
      <c r="AH11" s="538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451">
        <f t="shared" si="2"/>
        <v>0</v>
      </c>
      <c r="AU11" s="538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451">
        <f t="shared" si="3"/>
        <v>0</v>
      </c>
    </row>
    <row r="12" spans="1:59">
      <c r="A12" s="459"/>
      <c r="B12" s="490"/>
      <c r="C12" s="491" t="s">
        <v>396</v>
      </c>
      <c r="E12" s="498">
        <f t="shared" ref="E12:E17" si="4">+T12+AG12+AT12+BG12</f>
        <v>0</v>
      </c>
      <c r="F12" s="574">
        <v>0</v>
      </c>
      <c r="H12" s="53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51">
        <f t="shared" si="0"/>
        <v>0</v>
      </c>
      <c r="U12" s="538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451">
        <f t="shared" si="1"/>
        <v>0</v>
      </c>
      <c r="AH12" s="538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451">
        <f t="shared" si="2"/>
        <v>0</v>
      </c>
      <c r="AU12" s="538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451">
        <f t="shared" si="3"/>
        <v>0</v>
      </c>
    </row>
    <row r="13" spans="1:59">
      <c r="A13" s="459"/>
      <c r="B13" s="490"/>
      <c r="C13" s="491" t="s">
        <v>934</v>
      </c>
      <c r="E13" s="498">
        <f t="shared" si="4"/>
        <v>66886355.220000006</v>
      </c>
      <c r="F13" s="574">
        <v>97300355.349999979</v>
      </c>
      <c r="G13" s="19"/>
      <c r="H13" s="538">
        <f>8932552.92-73.67-13.95-377.73</f>
        <v>8932087.5700000003</v>
      </c>
      <c r="I13" s="12">
        <f>6788494.27-60.72-116.11</f>
        <v>6788317.4399999995</v>
      </c>
      <c r="J13" s="12">
        <f>133115.43+24209565.4+905605.09+1701422.21-5797.51-3370561.77</f>
        <v>23573348.849999998</v>
      </c>
      <c r="K13" s="12">
        <f>1143110.82+12863413.42-874.97-1567070.21</f>
        <v>12438579.059999999</v>
      </c>
      <c r="L13" s="12">
        <f>4021031.6-117000</f>
        <v>3904031.6</v>
      </c>
      <c r="M13" s="12">
        <f>4226484.11-4750-1828.83-18.46</f>
        <v>4219886.82</v>
      </c>
      <c r="N13" s="12">
        <v>2201298.8299999996</v>
      </c>
      <c r="O13" s="12">
        <f>1567159.09+4746.71-319.76-3818.95</f>
        <v>1567767.09</v>
      </c>
      <c r="P13" s="12">
        <f>352246.23+289749.11+2838937.25+4456.99-5340.22-128785.71</f>
        <v>3351263.65</v>
      </c>
      <c r="Q13" s="12"/>
      <c r="R13" s="12"/>
      <c r="S13" s="12"/>
      <c r="T13" s="451">
        <f>SUM(H13:S13)</f>
        <v>66976580.910000004</v>
      </c>
      <c r="U13" s="538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451">
        <f t="shared" si="1"/>
        <v>0</v>
      </c>
      <c r="AH13" s="538"/>
      <c r="AI13" s="12">
        <v>-50715</v>
      </c>
      <c r="AJ13" s="12">
        <v>-23027.38</v>
      </c>
      <c r="AK13" s="12">
        <v>-10000</v>
      </c>
      <c r="AL13" s="12"/>
      <c r="AM13" s="12">
        <f>-5978.85-504.46</f>
        <v>-6483.31</v>
      </c>
      <c r="AN13" s="8"/>
      <c r="AO13" s="12"/>
      <c r="AP13" s="12"/>
      <c r="AQ13" s="12"/>
      <c r="AR13" s="12"/>
      <c r="AS13" s="12"/>
      <c r="AT13" s="451">
        <f t="shared" si="2"/>
        <v>-90225.69</v>
      </c>
      <c r="AU13" s="538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451">
        <f t="shared" si="3"/>
        <v>0</v>
      </c>
    </row>
    <row r="14" spans="1:59">
      <c r="A14" s="459"/>
      <c r="B14" s="490"/>
      <c r="C14" s="13" t="s">
        <v>397</v>
      </c>
      <c r="E14" s="498">
        <f t="shared" si="4"/>
        <v>0</v>
      </c>
      <c r="F14" s="574">
        <v>0</v>
      </c>
      <c r="H14" s="53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451">
        <f t="shared" si="0"/>
        <v>0</v>
      </c>
      <c r="U14" s="538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451">
        <f t="shared" si="1"/>
        <v>0</v>
      </c>
      <c r="AH14" s="538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451">
        <f t="shared" si="2"/>
        <v>0</v>
      </c>
      <c r="AU14" s="538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451">
        <f t="shared" si="3"/>
        <v>0</v>
      </c>
    </row>
    <row r="15" spans="1:59">
      <c r="A15" s="459"/>
      <c r="B15" s="490"/>
      <c r="C15" s="491" t="s">
        <v>398</v>
      </c>
      <c r="E15" s="498">
        <f t="shared" si="4"/>
        <v>1089432.8700000001</v>
      </c>
      <c r="F15" s="574">
        <v>1533096.1500000001</v>
      </c>
      <c r="H15" s="53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51">
        <f t="shared" si="0"/>
        <v>0</v>
      </c>
      <c r="U15" s="53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451">
        <f t="shared" si="1"/>
        <v>0</v>
      </c>
      <c r="AH15" s="538">
        <v>91603.68</v>
      </c>
      <c r="AI15" s="12">
        <v>93844.44</v>
      </c>
      <c r="AJ15" s="12">
        <v>91389.489999999991</v>
      </c>
      <c r="AK15" s="12">
        <f>59966.89+91974.68</f>
        <v>151941.57</v>
      </c>
      <c r="AL15" s="12">
        <v>120891.19</v>
      </c>
      <c r="AM15" s="12">
        <v>119351.94</v>
      </c>
      <c r="AN15" s="12">
        <v>177799.82</v>
      </c>
      <c r="AO15" s="660">
        <v>136767.28</v>
      </c>
      <c r="AP15" s="12">
        <v>105843.46</v>
      </c>
      <c r="AQ15" s="12"/>
      <c r="AR15" s="12"/>
      <c r="AS15" s="12"/>
      <c r="AT15" s="451">
        <f t="shared" si="2"/>
        <v>1089432.8700000001</v>
      </c>
      <c r="AU15" s="538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451">
        <f t="shared" si="3"/>
        <v>0</v>
      </c>
    </row>
    <row r="16" spans="1:59">
      <c r="A16" s="459"/>
      <c r="B16" s="490"/>
      <c r="C16" s="491" t="s">
        <v>399</v>
      </c>
      <c r="E16" s="498">
        <f t="shared" si="4"/>
        <v>0</v>
      </c>
      <c r="F16" s="574">
        <v>0</v>
      </c>
      <c r="H16" s="53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451">
        <f t="shared" si="0"/>
        <v>0</v>
      </c>
      <c r="U16" s="538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451">
        <f t="shared" si="1"/>
        <v>0</v>
      </c>
      <c r="AH16" s="538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451">
        <f t="shared" si="2"/>
        <v>0</v>
      </c>
      <c r="AU16" s="538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451">
        <f t="shared" si="3"/>
        <v>0</v>
      </c>
    </row>
    <row r="17" spans="1:59">
      <c r="A17" s="459"/>
      <c r="B17" s="490"/>
      <c r="C17" s="491" t="s">
        <v>400</v>
      </c>
      <c r="E17" s="498">
        <f t="shared" si="4"/>
        <v>118681.07</v>
      </c>
      <c r="F17" s="574">
        <v>94562.849999999991</v>
      </c>
      <c r="H17" s="538">
        <f>73.67+377.73+13.95</f>
        <v>465.35</v>
      </c>
      <c r="I17" s="12">
        <f>60.72+116.11</f>
        <v>176.82999999999998</v>
      </c>
      <c r="J17" s="12">
        <f>618.04+57.58</f>
        <v>675.62</v>
      </c>
      <c r="K17" s="12">
        <f>1059.65+107.62</f>
        <v>1167.27</v>
      </c>
      <c r="L17" s="12">
        <v>117000</v>
      </c>
      <c r="M17" s="12">
        <f>4750+1828.83+18.46</f>
        <v>6597.29</v>
      </c>
      <c r="N17" s="12">
        <v>149.02000000000001</v>
      </c>
      <c r="O17" s="12">
        <f>979.04+0.1</f>
        <v>979.14</v>
      </c>
      <c r="P17" s="12">
        <f>11250.01+4800</f>
        <v>16050.01</v>
      </c>
      <c r="Q17" s="12"/>
      <c r="R17" s="12"/>
      <c r="S17" s="12"/>
      <c r="T17" s="451">
        <f t="shared" si="0"/>
        <v>143260.53</v>
      </c>
      <c r="U17" s="538"/>
      <c r="V17" s="12"/>
      <c r="W17" s="12"/>
      <c r="X17" s="12"/>
      <c r="Y17" s="12"/>
      <c r="Z17" s="151">
        <v>-24579.46</v>
      </c>
      <c r="AA17" s="12"/>
      <c r="AB17" s="12"/>
      <c r="AC17" s="12"/>
      <c r="AD17" s="12"/>
      <c r="AE17" s="12"/>
      <c r="AF17" s="12"/>
      <c r="AG17" s="451">
        <f t="shared" si="1"/>
        <v>-24579.46</v>
      </c>
      <c r="AH17" s="538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451">
        <f t="shared" si="2"/>
        <v>0</v>
      </c>
      <c r="AU17" s="538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451">
        <f t="shared" si="3"/>
        <v>0</v>
      </c>
    </row>
    <row r="18" spans="1:59">
      <c r="A18" s="198"/>
      <c r="C18" s="490" t="s">
        <v>123</v>
      </c>
      <c r="E18" s="499">
        <f>SUM(E12:E17)</f>
        <v>68094469.159999996</v>
      </c>
      <c r="F18" s="499">
        <f>SUM(F12:F17)</f>
        <v>98928014.349999979</v>
      </c>
      <c r="H18" s="499">
        <f>SUM(H12:H17)</f>
        <v>8932552.9199999999</v>
      </c>
      <c r="I18" s="499">
        <f t="shared" ref="I18:BF18" si="5">SUM(I12:I17)</f>
        <v>6788494.2699999996</v>
      </c>
      <c r="J18" s="499">
        <f t="shared" si="5"/>
        <v>23574024.469999999</v>
      </c>
      <c r="K18" s="499">
        <f t="shared" si="5"/>
        <v>12439746.329999998</v>
      </c>
      <c r="L18" s="499">
        <f t="shared" si="5"/>
        <v>4021031.6</v>
      </c>
      <c r="M18" s="499">
        <f t="shared" si="5"/>
        <v>4226484.1100000003</v>
      </c>
      <c r="N18" s="499">
        <f t="shared" si="5"/>
        <v>2201447.8499999996</v>
      </c>
      <c r="O18" s="499">
        <f t="shared" si="5"/>
        <v>1568746.23</v>
      </c>
      <c r="P18" s="499">
        <f t="shared" si="5"/>
        <v>3367313.6599999997</v>
      </c>
      <c r="Q18" s="499">
        <f t="shared" si="5"/>
        <v>0</v>
      </c>
      <c r="R18" s="499">
        <f t="shared" si="5"/>
        <v>0</v>
      </c>
      <c r="S18" s="499">
        <f t="shared" si="5"/>
        <v>0</v>
      </c>
      <c r="T18" s="451">
        <f t="shared" si="0"/>
        <v>67119841.439999998</v>
      </c>
      <c r="U18" s="499">
        <f t="shared" si="5"/>
        <v>0</v>
      </c>
      <c r="V18" s="499">
        <f t="shared" si="5"/>
        <v>0</v>
      </c>
      <c r="W18" s="499">
        <f t="shared" si="5"/>
        <v>0</v>
      </c>
      <c r="X18" s="499">
        <f t="shared" si="5"/>
        <v>0</v>
      </c>
      <c r="Y18" s="499">
        <f t="shared" si="5"/>
        <v>0</v>
      </c>
      <c r="Z18" s="499">
        <f t="shared" si="5"/>
        <v>-24579.46</v>
      </c>
      <c r="AA18" s="499">
        <f t="shared" si="5"/>
        <v>0</v>
      </c>
      <c r="AB18" s="499">
        <f t="shared" si="5"/>
        <v>0</v>
      </c>
      <c r="AC18" s="499">
        <f t="shared" si="5"/>
        <v>0</v>
      </c>
      <c r="AD18" s="499">
        <f t="shared" si="5"/>
        <v>0</v>
      </c>
      <c r="AE18" s="499">
        <f t="shared" si="5"/>
        <v>0</v>
      </c>
      <c r="AF18" s="499">
        <f t="shared" si="5"/>
        <v>0</v>
      </c>
      <c r="AG18" s="451">
        <f>SUM(U18:AF18)</f>
        <v>-24579.46</v>
      </c>
      <c r="AH18" s="499">
        <f t="shared" si="5"/>
        <v>91603.68</v>
      </c>
      <c r="AI18" s="499">
        <f t="shared" si="5"/>
        <v>43129.440000000002</v>
      </c>
      <c r="AJ18" s="499">
        <f t="shared" si="5"/>
        <v>68362.109999999986</v>
      </c>
      <c r="AK18" s="499">
        <f t="shared" si="5"/>
        <v>141941.57</v>
      </c>
      <c r="AL18" s="499">
        <f t="shared" si="5"/>
        <v>120891.19</v>
      </c>
      <c r="AM18" s="499">
        <f t="shared" si="5"/>
        <v>112868.63</v>
      </c>
      <c r="AN18" s="499">
        <f t="shared" si="5"/>
        <v>177799.82</v>
      </c>
      <c r="AO18" s="499">
        <f t="shared" si="5"/>
        <v>136767.28</v>
      </c>
      <c r="AP18" s="499">
        <f t="shared" si="5"/>
        <v>105843.46</v>
      </c>
      <c r="AQ18" s="499">
        <f t="shared" si="5"/>
        <v>0</v>
      </c>
      <c r="AR18" s="499">
        <f t="shared" si="5"/>
        <v>0</v>
      </c>
      <c r="AS18" s="499">
        <f t="shared" si="5"/>
        <v>0</v>
      </c>
      <c r="AT18" s="451">
        <f t="shared" si="2"/>
        <v>999207.17999999993</v>
      </c>
      <c r="AU18" s="499">
        <f t="shared" si="5"/>
        <v>0</v>
      </c>
      <c r="AV18" s="499">
        <f t="shared" si="5"/>
        <v>0</v>
      </c>
      <c r="AW18" s="499">
        <f t="shared" si="5"/>
        <v>0</v>
      </c>
      <c r="AX18" s="499">
        <f t="shared" si="5"/>
        <v>0</v>
      </c>
      <c r="AY18" s="499">
        <f t="shared" si="5"/>
        <v>0</v>
      </c>
      <c r="AZ18" s="499">
        <f t="shared" si="5"/>
        <v>0</v>
      </c>
      <c r="BA18" s="499">
        <f t="shared" si="5"/>
        <v>0</v>
      </c>
      <c r="BB18" s="499">
        <f t="shared" si="5"/>
        <v>0</v>
      </c>
      <c r="BC18" s="499">
        <f t="shared" si="5"/>
        <v>0</v>
      </c>
      <c r="BD18" s="499">
        <f t="shared" si="5"/>
        <v>0</v>
      </c>
      <c r="BE18" s="499">
        <f t="shared" si="5"/>
        <v>0</v>
      </c>
      <c r="BF18" s="499">
        <f t="shared" si="5"/>
        <v>0</v>
      </c>
      <c r="BG18" s="451">
        <f t="shared" si="3"/>
        <v>0</v>
      </c>
    </row>
    <row r="19" spans="1:59">
      <c r="A19" s="198"/>
      <c r="B19" s="381" t="s">
        <v>323</v>
      </c>
      <c r="C19" s="381"/>
      <c r="D19" s="142"/>
      <c r="E19" s="498"/>
      <c r="F19" s="574"/>
      <c r="H19" s="53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51">
        <f t="shared" si="0"/>
        <v>0</v>
      </c>
      <c r="U19" s="53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451">
        <f t="shared" si="1"/>
        <v>0</v>
      </c>
      <c r="AH19" s="538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451">
        <f t="shared" si="2"/>
        <v>0</v>
      </c>
      <c r="AU19" s="538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451">
        <f t="shared" si="3"/>
        <v>0</v>
      </c>
    </row>
    <row r="20" spans="1:59">
      <c r="A20" s="459"/>
      <c r="B20" s="381"/>
      <c r="C20" s="491" t="s">
        <v>912</v>
      </c>
      <c r="E20" s="498"/>
      <c r="F20" s="574"/>
      <c r="H20" s="53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451">
        <f t="shared" si="0"/>
        <v>0</v>
      </c>
      <c r="U20" s="538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51">
        <f t="shared" si="1"/>
        <v>0</v>
      </c>
      <c r="AH20" s="538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451">
        <f t="shared" si="2"/>
        <v>0</v>
      </c>
      <c r="AU20" s="538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451">
        <f t="shared" si="3"/>
        <v>0</v>
      </c>
    </row>
    <row r="21" spans="1:59">
      <c r="A21" s="459"/>
      <c r="B21" s="381"/>
      <c r="C21" s="381"/>
      <c r="D21" s="491" t="s">
        <v>910</v>
      </c>
      <c r="E21" s="498">
        <f>+T21+AG21+AT21+BG21</f>
        <v>25140522.84</v>
      </c>
      <c r="F21" s="574">
        <v>23606153.5</v>
      </c>
      <c r="H21" s="53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51">
        <f t="shared" si="0"/>
        <v>0</v>
      </c>
      <c r="U21" s="538">
        <f>448018.32+1194337.32+410028.48+68865.54+64588.11+46637.16</f>
        <v>2232474.9300000002</v>
      </c>
      <c r="V21" s="12">
        <v>779403.98</v>
      </c>
      <c r="W21" s="12">
        <f>4754822.43+646643.15+65712.5+52552.83+7000+7000+581201.14+13700+13700+13609+13659+13659+14500+12230+27556.47+85824.3</f>
        <v>6323369.8199999994</v>
      </c>
      <c r="X21" s="12">
        <f>713115.97+127372.26+13700+67927.32+64949.71+1124678.23+65712.5+10471+11016.88+11016.88+11920.5+10271+53158.55+8486+8395+333468.75+65078.97+46875</f>
        <v>2747614.52</v>
      </c>
      <c r="Y21" s="12">
        <f>684308.36+1183657.19+9790+26688.01+376743.76+62319.83</f>
        <v>2343507.15</v>
      </c>
      <c r="Z21" s="12">
        <f>450610.68+67200+78015.38+51273.77+483848.75+10402+30034.59+69522.24+1000</f>
        <v>1241907.4100000001</v>
      </c>
      <c r="AA21" s="12">
        <f>288985.96+1291986.47+478449.68+6157.56+784.83+16185.49</f>
        <v>2082549.99</v>
      </c>
      <c r="AB21" s="12">
        <f>582000+1224523.96+8550.45+23679.33+28030.37+38855.45+5831+80514.53+81054.41+4214.77+1696340.72</f>
        <v>3773594.99</v>
      </c>
      <c r="AC21" s="12">
        <f>57176.26+470169.15+51052.13+20447.48+3800+206327.15+10331+500+1000+74189.16+20635.51</f>
        <v>915627.84000000008</v>
      </c>
      <c r="AD21" s="12"/>
      <c r="AE21" s="12"/>
      <c r="AF21" s="12"/>
      <c r="AG21" s="451">
        <f t="shared" si="1"/>
        <v>22440050.629999999</v>
      </c>
      <c r="AH21" s="538">
        <v>206518.83</v>
      </c>
      <c r="AI21" s="12">
        <v>33987.57</v>
      </c>
      <c r="AJ21" s="12">
        <v>227434.59</v>
      </c>
      <c r="AK21" s="12">
        <v>692394.78</v>
      </c>
      <c r="AL21" s="12">
        <v>260855.15</v>
      </c>
      <c r="AM21" s="12">
        <v>19316.5</v>
      </c>
      <c r="AN21" s="12">
        <v>430090.73</v>
      </c>
      <c r="AO21" s="12">
        <f>120961.86+102786.44+282154.66</f>
        <v>505902.95999999996</v>
      </c>
      <c r="AP21" s="351">
        <f>102911.66+87398.76+133660.68</f>
        <v>323971.09999999998</v>
      </c>
      <c r="AQ21" s="12"/>
      <c r="AR21" s="12"/>
      <c r="AS21" s="424"/>
      <c r="AT21" s="451">
        <f t="shared" si="2"/>
        <v>2700472.21</v>
      </c>
      <c r="AU21" s="538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451">
        <f t="shared" si="3"/>
        <v>0</v>
      </c>
    </row>
    <row r="22" spans="1:59">
      <c r="A22" s="459"/>
      <c r="B22" s="381"/>
      <c r="C22" s="381"/>
      <c r="D22" s="491" t="s">
        <v>911</v>
      </c>
      <c r="E22" s="498">
        <f>+T22+AG22+AT22+BG22</f>
        <v>18553411.390000001</v>
      </c>
      <c r="F22" s="574">
        <v>28513682.649999999</v>
      </c>
      <c r="H22" s="53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51">
        <f t="shared" si="0"/>
        <v>0</v>
      </c>
      <c r="U22" s="538">
        <v>6000</v>
      </c>
      <c r="V22" s="12"/>
      <c r="W22" s="12"/>
      <c r="X22" s="12"/>
      <c r="Y22" s="12"/>
      <c r="Z22" s="12"/>
      <c r="AA22" s="12"/>
      <c r="AB22" s="12">
        <v>7000</v>
      </c>
      <c r="AD22" s="12"/>
      <c r="AE22" s="12"/>
      <c r="AF22" s="12"/>
      <c r="AG22" s="451">
        <f t="shared" si="1"/>
        <v>13000</v>
      </c>
      <c r="AH22" s="538">
        <f>27286.16+51624</f>
        <v>78910.16</v>
      </c>
      <c r="AI22" s="12">
        <f>72000+101690.87+56799.86+28068.43+1969668.26+44029.83</f>
        <v>2272257.25</v>
      </c>
      <c r="AJ22" s="12">
        <f>15156.56+27126.81+1908261.57+57639.5+61225.82+28731.43+1958732.54+44675.73</f>
        <v>4101549.9600000004</v>
      </c>
      <c r="AK22" s="12">
        <f>33820.93+29673.05+651750.6+27126.81+1790478.38</f>
        <v>2532849.77</v>
      </c>
      <c r="AL22" s="12">
        <f>29673.05+60186.29+111348.5+1603274+26006.81+42025.73</f>
        <v>1872514.3800000001</v>
      </c>
      <c r="AM22" s="12">
        <f>1723938.59+29673.05+59715.48+22000+40025.73+26948.43+1638104</f>
        <v>3540405.2800000003</v>
      </c>
      <c r="AN22" s="8">
        <f>28731.43+57394.61+21523.85+22955.99+1717244.59</f>
        <v>1847850.4700000002</v>
      </c>
      <c r="AO22" s="12">
        <f>53840.76+32371.08+23554.48+27442.65</f>
        <v>137208.97</v>
      </c>
      <c r="AP22" s="351">
        <f>1726122+29673.49+49353.26+23925.75+28070.65</f>
        <v>1857145.15</v>
      </c>
      <c r="AQ22" s="12"/>
      <c r="AR22" s="12"/>
      <c r="AS22" s="12"/>
      <c r="AT22" s="451">
        <f t="shared" si="2"/>
        <v>18240691.390000001</v>
      </c>
      <c r="AU22" s="538"/>
      <c r="AV22" s="12"/>
      <c r="AW22" s="12">
        <v>299720</v>
      </c>
      <c r="AX22" s="12"/>
      <c r="AY22" s="12"/>
      <c r="AZ22" s="12"/>
      <c r="BA22" s="12"/>
      <c r="BB22" s="12"/>
      <c r="BC22" s="12"/>
      <c r="BD22" s="12"/>
      <c r="BE22" s="12"/>
      <c r="BF22" s="12"/>
      <c r="BG22" s="451">
        <f t="shared" si="3"/>
        <v>299720</v>
      </c>
    </row>
    <row r="23" spans="1:59">
      <c r="A23" s="459"/>
      <c r="B23" s="381"/>
      <c r="C23" s="491" t="s">
        <v>122</v>
      </c>
      <c r="E23" s="498">
        <f>+T23+AG23+AT23+BG23</f>
        <v>0</v>
      </c>
      <c r="F23" s="574">
        <v>0</v>
      </c>
      <c r="H23" s="53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51">
        <f t="shared" si="0"/>
        <v>0</v>
      </c>
      <c r="U23" s="538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451">
        <f t="shared" si="1"/>
        <v>0</v>
      </c>
      <c r="AH23" s="538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451">
        <f t="shared" si="2"/>
        <v>0</v>
      </c>
      <c r="AU23" s="538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451">
        <f t="shared" si="3"/>
        <v>0</v>
      </c>
    </row>
    <row r="24" spans="1:59">
      <c r="A24" s="459"/>
      <c r="B24" s="381"/>
      <c r="C24" s="491" t="s">
        <v>913</v>
      </c>
      <c r="E24" s="498">
        <f>+T24+AG24+AT24+BG24</f>
        <v>16171.86</v>
      </c>
      <c r="F24" s="574">
        <v>0</v>
      </c>
      <c r="H24" s="53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51">
        <f t="shared" si="0"/>
        <v>0</v>
      </c>
      <c r="U24" s="538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451">
        <f t="shared" si="1"/>
        <v>0</v>
      </c>
      <c r="AH24" s="538"/>
      <c r="AI24" s="12"/>
      <c r="AJ24" s="12">
        <v>16171.86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451">
        <f t="shared" si="2"/>
        <v>16171.86</v>
      </c>
      <c r="AU24" s="538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451">
        <f t="shared" si="3"/>
        <v>0</v>
      </c>
    </row>
    <row r="25" spans="1:59">
      <c r="A25" s="198"/>
      <c r="B25" s="13"/>
      <c r="C25" s="491" t="s">
        <v>324</v>
      </c>
      <c r="D25" s="142"/>
      <c r="E25" s="500">
        <f>SUM(E21:E24)</f>
        <v>43710106.090000004</v>
      </c>
      <c r="F25" s="500">
        <f>SUM(F21:F24)</f>
        <v>52119836.149999999</v>
      </c>
      <c r="H25" s="500">
        <f t="shared" ref="H25:BF25" si="6">SUM(H21:H24)</f>
        <v>0</v>
      </c>
      <c r="I25" s="500">
        <f t="shared" si="6"/>
        <v>0</v>
      </c>
      <c r="J25" s="500">
        <f t="shared" si="6"/>
        <v>0</v>
      </c>
      <c r="K25" s="500">
        <f t="shared" si="6"/>
        <v>0</v>
      </c>
      <c r="L25" s="500">
        <f t="shared" si="6"/>
        <v>0</v>
      </c>
      <c r="M25" s="500">
        <f t="shared" si="6"/>
        <v>0</v>
      </c>
      <c r="N25" s="500">
        <f t="shared" si="6"/>
        <v>0</v>
      </c>
      <c r="O25" s="500">
        <f t="shared" si="6"/>
        <v>0</v>
      </c>
      <c r="P25" s="500">
        <f t="shared" si="6"/>
        <v>0</v>
      </c>
      <c r="Q25" s="500">
        <f t="shared" si="6"/>
        <v>0</v>
      </c>
      <c r="R25" s="500">
        <f t="shared" si="6"/>
        <v>0</v>
      </c>
      <c r="S25" s="500">
        <f t="shared" si="6"/>
        <v>0</v>
      </c>
      <c r="T25" s="451">
        <f t="shared" si="0"/>
        <v>0</v>
      </c>
      <c r="U25" s="500">
        <f t="shared" si="6"/>
        <v>2238474.9300000002</v>
      </c>
      <c r="V25" s="500">
        <f t="shared" si="6"/>
        <v>779403.98</v>
      </c>
      <c r="W25" s="500">
        <f t="shared" si="6"/>
        <v>6323369.8199999994</v>
      </c>
      <c r="X25" s="500">
        <f t="shared" si="6"/>
        <v>2747614.52</v>
      </c>
      <c r="Y25" s="500">
        <f t="shared" si="6"/>
        <v>2343507.15</v>
      </c>
      <c r="Z25" s="500">
        <f t="shared" si="6"/>
        <v>1241907.4100000001</v>
      </c>
      <c r="AA25" s="500">
        <f t="shared" si="6"/>
        <v>2082549.99</v>
      </c>
      <c r="AB25" s="500">
        <f t="shared" si="6"/>
        <v>3780594.99</v>
      </c>
      <c r="AC25" s="500">
        <f t="shared" si="6"/>
        <v>915627.84000000008</v>
      </c>
      <c r="AD25" s="500">
        <f t="shared" si="6"/>
        <v>0</v>
      </c>
      <c r="AE25" s="500">
        <f t="shared" si="6"/>
        <v>0</v>
      </c>
      <c r="AF25" s="500">
        <f t="shared" si="6"/>
        <v>0</v>
      </c>
      <c r="AG25" s="451">
        <f t="shared" si="1"/>
        <v>22453050.629999999</v>
      </c>
      <c r="AH25" s="500">
        <f t="shared" si="6"/>
        <v>285428.99</v>
      </c>
      <c r="AI25" s="500">
        <f t="shared" si="6"/>
        <v>2306244.8199999998</v>
      </c>
      <c r="AJ25" s="500">
        <f t="shared" si="6"/>
        <v>4345156.4100000011</v>
      </c>
      <c r="AK25" s="500">
        <f t="shared" si="6"/>
        <v>3225244.55</v>
      </c>
      <c r="AL25" s="500">
        <f t="shared" si="6"/>
        <v>2133369.5300000003</v>
      </c>
      <c r="AM25" s="500">
        <f t="shared" si="6"/>
        <v>3559721.7800000003</v>
      </c>
      <c r="AN25" s="500">
        <f t="shared" si="6"/>
        <v>2277941.2000000002</v>
      </c>
      <c r="AO25" s="500">
        <f t="shared" si="6"/>
        <v>643111.92999999993</v>
      </c>
      <c r="AP25" s="500">
        <f t="shared" si="6"/>
        <v>2181116.25</v>
      </c>
      <c r="AQ25" s="500">
        <f t="shared" si="6"/>
        <v>0</v>
      </c>
      <c r="AR25" s="500">
        <f t="shared" si="6"/>
        <v>0</v>
      </c>
      <c r="AS25" s="500">
        <f t="shared" si="6"/>
        <v>0</v>
      </c>
      <c r="AT25" s="451">
        <f t="shared" si="2"/>
        <v>20957335.460000001</v>
      </c>
      <c r="AU25" s="500">
        <f t="shared" si="6"/>
        <v>0</v>
      </c>
      <c r="AV25" s="500">
        <f t="shared" si="6"/>
        <v>0</v>
      </c>
      <c r="AW25" s="500">
        <f t="shared" si="6"/>
        <v>299720</v>
      </c>
      <c r="AX25" s="500">
        <f t="shared" si="6"/>
        <v>0</v>
      </c>
      <c r="AY25" s="500">
        <f t="shared" si="6"/>
        <v>0</v>
      </c>
      <c r="AZ25" s="500">
        <f t="shared" si="6"/>
        <v>0</v>
      </c>
      <c r="BA25" s="500">
        <f t="shared" si="6"/>
        <v>0</v>
      </c>
      <c r="BB25" s="500">
        <f t="shared" si="6"/>
        <v>0</v>
      </c>
      <c r="BC25" s="500">
        <f t="shared" si="6"/>
        <v>0</v>
      </c>
      <c r="BD25" s="500">
        <f t="shared" si="6"/>
        <v>0</v>
      </c>
      <c r="BE25" s="500">
        <f t="shared" si="6"/>
        <v>0</v>
      </c>
      <c r="BF25" s="500">
        <f t="shared" si="6"/>
        <v>0</v>
      </c>
      <c r="BG25" s="451">
        <f t="shared" si="3"/>
        <v>299720</v>
      </c>
    </row>
    <row r="26" spans="1:59">
      <c r="A26" s="198"/>
      <c r="B26" s="490" t="s">
        <v>914</v>
      </c>
      <c r="C26" s="490"/>
      <c r="D26" s="142"/>
      <c r="E26" s="501">
        <f>+E18-E25</f>
        <v>24384363.069999993</v>
      </c>
      <c r="F26" s="501">
        <f>+F18-F25</f>
        <v>46808178.199999981</v>
      </c>
      <c r="H26" s="53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51">
        <f t="shared" si="0"/>
        <v>0</v>
      </c>
      <c r="U26" s="538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451">
        <f t="shared" si="1"/>
        <v>0</v>
      </c>
      <c r="AH26" s="538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451">
        <f t="shared" si="2"/>
        <v>0</v>
      </c>
      <c r="AU26" s="538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451">
        <f>SUM(AU26:BF26)</f>
        <v>0</v>
      </c>
    </row>
    <row r="27" spans="1:59">
      <c r="A27" s="495" t="s">
        <v>325</v>
      </c>
      <c r="B27" s="13"/>
      <c r="C27" s="13"/>
      <c r="D27" s="13"/>
      <c r="E27" s="498"/>
      <c r="F27" s="574"/>
      <c r="H27" s="53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451">
        <f t="shared" si="0"/>
        <v>0</v>
      </c>
      <c r="U27" s="538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451">
        <f t="shared" si="1"/>
        <v>0</v>
      </c>
      <c r="AH27" s="538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451">
        <f t="shared" si="2"/>
        <v>0</v>
      </c>
      <c r="AU27" s="538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451">
        <f t="shared" si="3"/>
        <v>0</v>
      </c>
    </row>
    <row r="28" spans="1:59">
      <c r="A28" s="459"/>
      <c r="B28" s="490" t="s">
        <v>121</v>
      </c>
      <c r="C28" s="490"/>
      <c r="D28" s="13"/>
      <c r="E28" s="498"/>
      <c r="F28" s="574"/>
      <c r="H28" s="53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451">
        <f t="shared" si="0"/>
        <v>0</v>
      </c>
      <c r="U28" s="538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451">
        <f t="shared" si="1"/>
        <v>0</v>
      </c>
      <c r="AH28" s="538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451">
        <f t="shared" si="2"/>
        <v>0</v>
      </c>
      <c r="AU28" s="538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451">
        <f t="shared" si="3"/>
        <v>0</v>
      </c>
    </row>
    <row r="29" spans="1:59">
      <c r="A29" s="504"/>
      <c r="B29" s="490"/>
      <c r="C29" s="491" t="s">
        <v>915</v>
      </c>
      <c r="D29" s="491"/>
      <c r="E29" s="498">
        <f>+T29+AG29+AT29+BG29</f>
        <v>0</v>
      </c>
      <c r="F29" s="574">
        <v>0</v>
      </c>
      <c r="H29" s="53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51">
        <f t="shared" si="0"/>
        <v>0</v>
      </c>
      <c r="U29" s="538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451">
        <f t="shared" si="1"/>
        <v>0</v>
      </c>
      <c r="AH29" s="538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451">
        <f t="shared" si="2"/>
        <v>0</v>
      </c>
      <c r="AU29" s="538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451">
        <f t="shared" si="3"/>
        <v>0</v>
      </c>
    </row>
    <row r="30" spans="1:59">
      <c r="A30" s="504"/>
      <c r="B30" s="490"/>
      <c r="C30" s="491" t="s">
        <v>916</v>
      </c>
      <c r="D30" s="491"/>
      <c r="E30" s="498">
        <f>+T30+AG30+AT30+BG30</f>
        <v>0</v>
      </c>
      <c r="F30" s="574">
        <v>0</v>
      </c>
      <c r="H30" s="53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451">
        <f t="shared" si="0"/>
        <v>0</v>
      </c>
      <c r="U30" s="538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451">
        <f t="shared" si="1"/>
        <v>0</v>
      </c>
      <c r="AH30" s="538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451">
        <f t="shared" si="2"/>
        <v>0</v>
      </c>
      <c r="AU30" s="538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451">
        <f t="shared" si="3"/>
        <v>0</v>
      </c>
    </row>
    <row r="31" spans="1:59">
      <c r="A31" s="504"/>
      <c r="B31" s="490"/>
      <c r="C31" s="491" t="s">
        <v>917</v>
      </c>
      <c r="D31" s="491"/>
      <c r="E31" s="498">
        <f>+T31+AG31+AT31+BG31</f>
        <v>0</v>
      </c>
      <c r="F31" s="582">
        <v>0</v>
      </c>
      <c r="H31" s="53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51">
        <f t="shared" si="0"/>
        <v>0</v>
      </c>
      <c r="U31" s="538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451">
        <f t="shared" si="1"/>
        <v>0</v>
      </c>
      <c r="AH31" s="538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451">
        <f t="shared" si="2"/>
        <v>0</v>
      </c>
      <c r="AU31" s="538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451">
        <f t="shared" si="3"/>
        <v>0</v>
      </c>
    </row>
    <row r="32" spans="1:59">
      <c r="A32" s="504"/>
      <c r="B32" s="13"/>
      <c r="C32" s="491" t="s">
        <v>123</v>
      </c>
      <c r="D32" s="13"/>
      <c r="E32" s="499">
        <f>SUM(E29:E31)</f>
        <v>0</v>
      </c>
      <c r="F32" s="499">
        <v>0</v>
      </c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51">
        <f t="shared" si="0"/>
        <v>0</v>
      </c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51">
        <f t="shared" si="1"/>
        <v>0</v>
      </c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51">
        <f t="shared" si="2"/>
        <v>0</v>
      </c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51">
        <f t="shared" si="3"/>
        <v>0</v>
      </c>
    </row>
    <row r="33" spans="1:59">
      <c r="A33" s="459"/>
      <c r="B33" s="381" t="s">
        <v>323</v>
      </c>
      <c r="C33" s="381"/>
      <c r="D33" s="505"/>
      <c r="E33" s="498"/>
      <c r="F33" s="574"/>
      <c r="H33" s="53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451">
        <f t="shared" si="0"/>
        <v>0</v>
      </c>
      <c r="U33" s="538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451">
        <f t="shared" si="1"/>
        <v>0</v>
      </c>
      <c r="AH33" s="538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451">
        <f t="shared" si="2"/>
        <v>0</v>
      </c>
      <c r="AU33" s="538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451">
        <f t="shared" si="3"/>
        <v>0</v>
      </c>
    </row>
    <row r="34" spans="1:59">
      <c r="A34" s="504"/>
      <c r="B34" s="381"/>
      <c r="C34" s="505" t="s">
        <v>918</v>
      </c>
      <c r="D34" s="505"/>
      <c r="E34" s="498">
        <f>+T34+AG34+AT34+BG34</f>
        <v>8290596.5600000005</v>
      </c>
      <c r="F34" s="574">
        <v>1650516.87</v>
      </c>
      <c r="H34" s="53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451">
        <f t="shared" si="0"/>
        <v>0</v>
      </c>
      <c r="U34" s="538">
        <v>238166.16</v>
      </c>
      <c r="V34" s="12"/>
      <c r="W34" s="12">
        <f>858346.65+498941.76+746149.1+368891.29+308481.73+51080.26+531898.56</f>
        <v>3363789.35</v>
      </c>
      <c r="X34" s="12">
        <f>100723.7+213178.35+137801.35+5674.58</f>
        <v>457377.98000000004</v>
      </c>
      <c r="Y34" s="12">
        <f>107152.23+100727.06</f>
        <v>207879.28999999998</v>
      </c>
      <c r="Z34" s="12">
        <f>56341.29+100647.48+56720.54</f>
        <v>213709.31</v>
      </c>
      <c r="AA34" s="12">
        <f>25888.27+324957.37+325463.81+325684.75+159985.87</f>
        <v>1161980.0699999998</v>
      </c>
      <c r="AB34" s="12">
        <f>90053.17+166589.37</f>
        <v>256642.53999999998</v>
      </c>
      <c r="AC34" s="542">
        <f>159902.16+348901.75+400783.09+393751.43+679897.36+407816.07</f>
        <v>2391051.86</v>
      </c>
      <c r="AD34" s="12"/>
      <c r="AE34" s="12"/>
      <c r="AF34" s="12"/>
      <c r="AG34" s="451">
        <f t="shared" si="1"/>
        <v>8290596.5600000005</v>
      </c>
      <c r="AH34" s="538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451">
        <f t="shared" si="2"/>
        <v>0</v>
      </c>
      <c r="AU34" s="538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451">
        <f t="shared" si="3"/>
        <v>0</v>
      </c>
    </row>
    <row r="35" spans="1:59">
      <c r="A35" s="504"/>
      <c r="B35" s="381"/>
      <c r="C35" s="491" t="s">
        <v>919</v>
      </c>
      <c r="D35" s="491"/>
      <c r="E35" s="498">
        <f>+T35+AG35+AT35+BG35</f>
        <v>0</v>
      </c>
      <c r="F35" s="574">
        <v>0</v>
      </c>
      <c r="H35" s="53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51">
        <f t="shared" si="0"/>
        <v>0</v>
      </c>
      <c r="U35" s="538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451">
        <f t="shared" si="1"/>
        <v>0</v>
      </c>
      <c r="AH35" s="538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451">
        <f t="shared" si="2"/>
        <v>0</v>
      </c>
      <c r="AU35" s="538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451">
        <f t="shared" si="3"/>
        <v>0</v>
      </c>
    </row>
    <row r="36" spans="1:59">
      <c r="A36" s="504"/>
      <c r="B36" s="505"/>
      <c r="C36" s="505" t="s">
        <v>920</v>
      </c>
      <c r="D36" s="505"/>
      <c r="E36" s="498">
        <f>+T36+AG36+AT36+BG36</f>
        <v>0</v>
      </c>
      <c r="F36" s="574">
        <v>0</v>
      </c>
      <c r="H36" s="53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451">
        <f t="shared" si="0"/>
        <v>0</v>
      </c>
      <c r="U36" s="538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451">
        <f t="shared" si="1"/>
        <v>0</v>
      </c>
      <c r="AH36" s="538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451">
        <f t="shared" si="2"/>
        <v>0</v>
      </c>
      <c r="AU36" s="538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451">
        <f t="shared" si="3"/>
        <v>0</v>
      </c>
    </row>
    <row r="37" spans="1:59">
      <c r="A37" s="459"/>
      <c r="B37" s="13"/>
      <c r="C37" s="491" t="s">
        <v>324</v>
      </c>
      <c r="D37" s="13"/>
      <c r="E37" s="499">
        <f>SUM(E34:E36)</f>
        <v>8290596.5600000005</v>
      </c>
      <c r="F37" s="499">
        <f>SUM(F34:F36)</f>
        <v>1650516.87</v>
      </c>
      <c r="H37" s="499">
        <f t="shared" ref="H37:BF37" si="7">SUM(H34:H36)</f>
        <v>0</v>
      </c>
      <c r="I37" s="499">
        <f t="shared" si="7"/>
        <v>0</v>
      </c>
      <c r="J37" s="499">
        <f t="shared" si="7"/>
        <v>0</v>
      </c>
      <c r="K37" s="499">
        <f t="shared" si="7"/>
        <v>0</v>
      </c>
      <c r="L37" s="499">
        <f t="shared" si="7"/>
        <v>0</v>
      </c>
      <c r="M37" s="499">
        <f t="shared" si="7"/>
        <v>0</v>
      </c>
      <c r="N37" s="499">
        <f t="shared" si="7"/>
        <v>0</v>
      </c>
      <c r="O37" s="499">
        <f t="shared" si="7"/>
        <v>0</v>
      </c>
      <c r="P37" s="499">
        <f t="shared" si="7"/>
        <v>0</v>
      </c>
      <c r="Q37" s="499">
        <f t="shared" si="7"/>
        <v>0</v>
      </c>
      <c r="R37" s="499">
        <f t="shared" si="7"/>
        <v>0</v>
      </c>
      <c r="S37" s="499">
        <f t="shared" si="7"/>
        <v>0</v>
      </c>
      <c r="T37" s="451">
        <f t="shared" si="0"/>
        <v>0</v>
      </c>
      <c r="U37" s="499">
        <f t="shared" si="7"/>
        <v>238166.16</v>
      </c>
      <c r="V37" s="499">
        <f t="shared" si="7"/>
        <v>0</v>
      </c>
      <c r="W37" s="499">
        <f t="shared" si="7"/>
        <v>3363789.35</v>
      </c>
      <c r="X37" s="499">
        <f t="shared" si="7"/>
        <v>457377.98000000004</v>
      </c>
      <c r="Y37" s="499">
        <f t="shared" si="7"/>
        <v>207879.28999999998</v>
      </c>
      <c r="Z37" s="499">
        <f t="shared" si="7"/>
        <v>213709.31</v>
      </c>
      <c r="AA37" s="499">
        <f t="shared" si="7"/>
        <v>1161980.0699999998</v>
      </c>
      <c r="AB37" s="499">
        <f t="shared" si="7"/>
        <v>256642.53999999998</v>
      </c>
      <c r="AC37" s="499">
        <f t="shared" si="7"/>
        <v>2391051.86</v>
      </c>
      <c r="AD37" s="499">
        <f t="shared" si="7"/>
        <v>0</v>
      </c>
      <c r="AE37" s="499">
        <f t="shared" si="7"/>
        <v>0</v>
      </c>
      <c r="AF37" s="499">
        <f t="shared" si="7"/>
        <v>0</v>
      </c>
      <c r="AG37" s="451">
        <f t="shared" si="1"/>
        <v>8290596.5600000005</v>
      </c>
      <c r="AH37" s="499">
        <f t="shared" si="7"/>
        <v>0</v>
      </c>
      <c r="AI37" s="499">
        <f t="shared" si="7"/>
        <v>0</v>
      </c>
      <c r="AJ37" s="499">
        <f t="shared" si="7"/>
        <v>0</v>
      </c>
      <c r="AK37" s="499">
        <f t="shared" si="7"/>
        <v>0</v>
      </c>
      <c r="AL37" s="499">
        <f t="shared" si="7"/>
        <v>0</v>
      </c>
      <c r="AM37" s="499">
        <f t="shared" si="7"/>
        <v>0</v>
      </c>
      <c r="AN37" s="499">
        <f t="shared" si="7"/>
        <v>0</v>
      </c>
      <c r="AO37" s="499">
        <f t="shared" si="7"/>
        <v>0</v>
      </c>
      <c r="AP37" s="499">
        <f t="shared" si="7"/>
        <v>0</v>
      </c>
      <c r="AQ37" s="499">
        <f t="shared" si="7"/>
        <v>0</v>
      </c>
      <c r="AR37" s="499">
        <f t="shared" si="7"/>
        <v>0</v>
      </c>
      <c r="AS37" s="499">
        <f t="shared" si="7"/>
        <v>0</v>
      </c>
      <c r="AT37" s="451">
        <f t="shared" si="2"/>
        <v>0</v>
      </c>
      <c r="AU37" s="499">
        <f t="shared" si="7"/>
        <v>0</v>
      </c>
      <c r="AV37" s="499">
        <f t="shared" si="7"/>
        <v>0</v>
      </c>
      <c r="AW37" s="499">
        <f t="shared" si="7"/>
        <v>0</v>
      </c>
      <c r="AX37" s="499">
        <f t="shared" si="7"/>
        <v>0</v>
      </c>
      <c r="AY37" s="499">
        <f t="shared" si="7"/>
        <v>0</v>
      </c>
      <c r="AZ37" s="499">
        <f t="shared" si="7"/>
        <v>0</v>
      </c>
      <c r="BA37" s="499">
        <f t="shared" si="7"/>
        <v>0</v>
      </c>
      <c r="BB37" s="499">
        <f t="shared" si="7"/>
        <v>0</v>
      </c>
      <c r="BC37" s="499">
        <f t="shared" si="7"/>
        <v>0</v>
      </c>
      <c r="BD37" s="499">
        <f t="shared" si="7"/>
        <v>0</v>
      </c>
      <c r="BE37" s="499">
        <f t="shared" si="7"/>
        <v>0</v>
      </c>
      <c r="BF37" s="499">
        <f t="shared" si="7"/>
        <v>0</v>
      </c>
      <c r="BG37" s="451">
        <f t="shared" si="3"/>
        <v>0</v>
      </c>
    </row>
    <row r="38" spans="1:59">
      <c r="A38" s="495"/>
      <c r="B38" s="490" t="s">
        <v>921</v>
      </c>
      <c r="C38" s="490"/>
      <c r="D38" s="13"/>
      <c r="E38" s="501">
        <f>+E32-E37</f>
        <v>-8290596.5600000005</v>
      </c>
      <c r="F38" s="501">
        <f>+F32-F37</f>
        <v>-1650516.87</v>
      </c>
      <c r="H38" s="53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51">
        <f t="shared" si="0"/>
        <v>0</v>
      </c>
      <c r="U38" s="538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451">
        <f t="shared" si="1"/>
        <v>0</v>
      </c>
      <c r="AH38" s="538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451">
        <f t="shared" si="2"/>
        <v>0</v>
      </c>
      <c r="AU38" s="538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451">
        <f t="shared" si="3"/>
        <v>0</v>
      </c>
    </row>
    <row r="39" spans="1:59">
      <c r="A39" s="495" t="s">
        <v>326</v>
      </c>
      <c r="B39" s="13"/>
      <c r="C39" s="13"/>
      <c r="D39" s="13"/>
      <c r="E39" s="498"/>
      <c r="F39" s="574"/>
      <c r="H39" s="53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51">
        <f t="shared" si="0"/>
        <v>0</v>
      </c>
      <c r="U39" s="538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451">
        <f t="shared" si="1"/>
        <v>0</v>
      </c>
      <c r="AH39" s="538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451">
        <f t="shared" si="2"/>
        <v>0</v>
      </c>
      <c r="AU39" s="538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451">
        <f t="shared" si="3"/>
        <v>0</v>
      </c>
    </row>
    <row r="40" spans="1:59">
      <c r="A40" s="459"/>
      <c r="B40" s="490" t="s">
        <v>121</v>
      </c>
      <c r="C40" s="490"/>
      <c r="D40" s="491"/>
      <c r="E40" s="498"/>
      <c r="F40" s="574"/>
      <c r="H40" s="53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51">
        <f t="shared" si="0"/>
        <v>0</v>
      </c>
      <c r="U40" s="538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451">
        <f t="shared" si="1"/>
        <v>0</v>
      </c>
      <c r="AH40" s="538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451">
        <f t="shared" si="2"/>
        <v>0</v>
      </c>
      <c r="AU40" s="538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451">
        <f t="shared" si="3"/>
        <v>0</v>
      </c>
    </row>
    <row r="41" spans="1:59">
      <c r="A41" s="504"/>
      <c r="B41" s="490"/>
      <c r="C41" s="491" t="s">
        <v>922</v>
      </c>
      <c r="D41" s="491"/>
      <c r="E41" s="498">
        <f>+T41+AG41+AT41+BG41</f>
        <v>0</v>
      </c>
      <c r="F41" s="574">
        <v>0</v>
      </c>
      <c r="H41" s="53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51">
        <f t="shared" si="0"/>
        <v>0</v>
      </c>
      <c r="U41" s="538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451">
        <f t="shared" si="1"/>
        <v>0</v>
      </c>
      <c r="AH41" s="538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451">
        <f t="shared" si="2"/>
        <v>0</v>
      </c>
      <c r="AU41" s="538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451">
        <f t="shared" si="3"/>
        <v>0</v>
      </c>
    </row>
    <row r="42" spans="1:59">
      <c r="A42" s="504"/>
      <c r="B42" s="490"/>
      <c r="C42" s="491" t="s">
        <v>923</v>
      </c>
      <c r="D42" s="491"/>
      <c r="E42" s="498">
        <f>+T42+AG42+AT42+BG42</f>
        <v>0</v>
      </c>
      <c r="F42" s="574">
        <v>0</v>
      </c>
      <c r="H42" s="53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51">
        <f t="shared" si="0"/>
        <v>0</v>
      </c>
      <c r="U42" s="538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451">
        <f t="shared" si="1"/>
        <v>0</v>
      </c>
      <c r="AH42" s="538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451">
        <f t="shared" si="2"/>
        <v>0</v>
      </c>
      <c r="AU42" s="538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451">
        <f t="shared" si="3"/>
        <v>0</v>
      </c>
    </row>
    <row r="43" spans="1:59">
      <c r="A43" s="504"/>
      <c r="B43" s="13"/>
      <c r="C43" s="491" t="s">
        <v>123</v>
      </c>
      <c r="D43" s="13"/>
      <c r="E43" s="499">
        <f>SUM(E41:E42)</f>
        <v>0</v>
      </c>
      <c r="F43" s="499">
        <v>0</v>
      </c>
      <c r="H43" s="499">
        <f t="shared" ref="H43:BF43" si="8">SUM(H41:H42)</f>
        <v>0</v>
      </c>
      <c r="I43" s="499">
        <f t="shared" si="8"/>
        <v>0</v>
      </c>
      <c r="J43" s="499">
        <f t="shared" si="8"/>
        <v>0</v>
      </c>
      <c r="K43" s="499">
        <f t="shared" si="8"/>
        <v>0</v>
      </c>
      <c r="L43" s="499">
        <f t="shared" si="8"/>
        <v>0</v>
      </c>
      <c r="M43" s="499">
        <f t="shared" si="8"/>
        <v>0</v>
      </c>
      <c r="N43" s="499">
        <f t="shared" si="8"/>
        <v>0</v>
      </c>
      <c r="O43" s="499">
        <f t="shared" si="8"/>
        <v>0</v>
      </c>
      <c r="P43" s="499">
        <f t="shared" si="8"/>
        <v>0</v>
      </c>
      <c r="Q43" s="499">
        <f t="shared" si="8"/>
        <v>0</v>
      </c>
      <c r="R43" s="499">
        <f t="shared" si="8"/>
        <v>0</v>
      </c>
      <c r="S43" s="499">
        <f t="shared" si="8"/>
        <v>0</v>
      </c>
      <c r="T43" s="451">
        <f t="shared" si="0"/>
        <v>0</v>
      </c>
      <c r="U43" s="499">
        <f t="shared" si="8"/>
        <v>0</v>
      </c>
      <c r="V43" s="499">
        <f t="shared" si="8"/>
        <v>0</v>
      </c>
      <c r="W43" s="499">
        <f t="shared" si="8"/>
        <v>0</v>
      </c>
      <c r="X43" s="499">
        <f t="shared" si="8"/>
        <v>0</v>
      </c>
      <c r="Y43" s="499">
        <f t="shared" si="8"/>
        <v>0</v>
      </c>
      <c r="Z43" s="499">
        <f t="shared" si="8"/>
        <v>0</v>
      </c>
      <c r="AA43" s="499">
        <f t="shared" si="8"/>
        <v>0</v>
      </c>
      <c r="AB43" s="499">
        <f t="shared" si="8"/>
        <v>0</v>
      </c>
      <c r="AC43" s="499">
        <f t="shared" si="8"/>
        <v>0</v>
      </c>
      <c r="AD43" s="499">
        <f t="shared" si="8"/>
        <v>0</v>
      </c>
      <c r="AE43" s="499">
        <f t="shared" si="8"/>
        <v>0</v>
      </c>
      <c r="AF43" s="499">
        <f t="shared" si="8"/>
        <v>0</v>
      </c>
      <c r="AG43" s="451">
        <f t="shared" si="1"/>
        <v>0</v>
      </c>
      <c r="AH43" s="499">
        <f t="shared" si="8"/>
        <v>0</v>
      </c>
      <c r="AI43" s="499">
        <f t="shared" si="8"/>
        <v>0</v>
      </c>
      <c r="AJ43" s="499">
        <f t="shared" si="8"/>
        <v>0</v>
      </c>
      <c r="AK43" s="499">
        <f t="shared" si="8"/>
        <v>0</v>
      </c>
      <c r="AL43" s="499">
        <f t="shared" si="8"/>
        <v>0</v>
      </c>
      <c r="AM43" s="499">
        <f t="shared" si="8"/>
        <v>0</v>
      </c>
      <c r="AN43" s="499">
        <f t="shared" si="8"/>
        <v>0</v>
      </c>
      <c r="AO43" s="499">
        <f t="shared" si="8"/>
        <v>0</v>
      </c>
      <c r="AP43" s="499">
        <f t="shared" si="8"/>
        <v>0</v>
      </c>
      <c r="AQ43" s="499">
        <f t="shared" si="8"/>
        <v>0</v>
      </c>
      <c r="AR43" s="499">
        <f t="shared" si="8"/>
        <v>0</v>
      </c>
      <c r="AS43" s="499">
        <f t="shared" si="8"/>
        <v>0</v>
      </c>
      <c r="AT43" s="451">
        <f t="shared" si="2"/>
        <v>0</v>
      </c>
      <c r="AU43" s="499">
        <f t="shared" si="8"/>
        <v>0</v>
      </c>
      <c r="AV43" s="499">
        <f t="shared" si="8"/>
        <v>0</v>
      </c>
      <c r="AW43" s="499">
        <f t="shared" si="8"/>
        <v>0</v>
      </c>
      <c r="AX43" s="499">
        <f t="shared" si="8"/>
        <v>0</v>
      </c>
      <c r="AY43" s="499">
        <f t="shared" si="8"/>
        <v>0</v>
      </c>
      <c r="AZ43" s="499">
        <f t="shared" si="8"/>
        <v>0</v>
      </c>
      <c r="BA43" s="499">
        <f t="shared" si="8"/>
        <v>0</v>
      </c>
      <c r="BB43" s="499">
        <f t="shared" si="8"/>
        <v>0</v>
      </c>
      <c r="BC43" s="499">
        <f t="shared" si="8"/>
        <v>0</v>
      </c>
      <c r="BD43" s="499">
        <f t="shared" si="8"/>
        <v>0</v>
      </c>
      <c r="BE43" s="499">
        <f t="shared" si="8"/>
        <v>0</v>
      </c>
      <c r="BF43" s="499">
        <f t="shared" si="8"/>
        <v>0</v>
      </c>
      <c r="BG43" s="451">
        <f t="shared" si="3"/>
        <v>0</v>
      </c>
    </row>
    <row r="44" spans="1:59">
      <c r="A44" s="504"/>
      <c r="B44" s="381" t="s">
        <v>323</v>
      </c>
      <c r="C44" s="381"/>
      <c r="D44" s="13"/>
      <c r="E44" s="498"/>
      <c r="F44" s="574"/>
      <c r="H44" s="53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451">
        <f t="shared" si="0"/>
        <v>0</v>
      </c>
      <c r="U44" s="538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451">
        <f t="shared" si="1"/>
        <v>0</v>
      </c>
      <c r="AH44" s="538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451">
        <f t="shared" si="2"/>
        <v>0</v>
      </c>
      <c r="AU44" s="538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451">
        <f t="shared" si="3"/>
        <v>0</v>
      </c>
    </row>
    <row r="45" spans="1:59">
      <c r="A45" s="504"/>
      <c r="B45" s="13"/>
      <c r="C45" s="13" t="s">
        <v>401</v>
      </c>
      <c r="D45" s="13"/>
      <c r="E45" s="498">
        <f>+T45+AG45+AT45+BG45</f>
        <v>0</v>
      </c>
      <c r="F45" s="574">
        <v>0</v>
      </c>
      <c r="H45" s="53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451">
        <f t="shared" si="0"/>
        <v>0</v>
      </c>
      <c r="U45" s="538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451">
        <f t="shared" si="1"/>
        <v>0</v>
      </c>
      <c r="AH45" s="538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451">
        <f t="shared" si="2"/>
        <v>0</v>
      </c>
      <c r="AU45" s="538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451">
        <f t="shared" si="3"/>
        <v>0</v>
      </c>
    </row>
    <row r="46" spans="1:59">
      <c r="A46" s="459"/>
      <c r="B46" s="13"/>
      <c r="C46" s="350" t="s">
        <v>945</v>
      </c>
      <c r="D46" s="13"/>
      <c r="E46" s="498">
        <f>+T46+AG46+AT46+BG46</f>
        <v>0</v>
      </c>
      <c r="F46" s="574">
        <v>0</v>
      </c>
      <c r="H46" s="53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451">
        <f t="shared" si="0"/>
        <v>0</v>
      </c>
      <c r="U46" s="538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451">
        <f t="shared" si="1"/>
        <v>0</v>
      </c>
      <c r="AH46" s="538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451">
        <f t="shared" si="2"/>
        <v>0</v>
      </c>
      <c r="AU46" s="538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451">
        <f t="shared" si="3"/>
        <v>0</v>
      </c>
    </row>
    <row r="47" spans="1:59">
      <c r="A47" s="459"/>
      <c r="B47" s="13"/>
      <c r="C47" s="491" t="s">
        <v>324</v>
      </c>
      <c r="D47" s="13"/>
      <c r="E47" s="499">
        <f>SUM(E45:E46)</f>
        <v>0</v>
      </c>
      <c r="F47" s="499">
        <v>0</v>
      </c>
      <c r="H47" s="499">
        <f t="shared" ref="H47:BF47" si="9">SUM(H45:H46)</f>
        <v>0</v>
      </c>
      <c r="I47" s="499">
        <f t="shared" si="9"/>
        <v>0</v>
      </c>
      <c r="J47" s="499">
        <f t="shared" si="9"/>
        <v>0</v>
      </c>
      <c r="K47" s="499">
        <f t="shared" si="9"/>
        <v>0</v>
      </c>
      <c r="L47" s="499">
        <f t="shared" si="9"/>
        <v>0</v>
      </c>
      <c r="M47" s="499">
        <f t="shared" si="9"/>
        <v>0</v>
      </c>
      <c r="N47" s="499">
        <f t="shared" si="9"/>
        <v>0</v>
      </c>
      <c r="O47" s="499">
        <f t="shared" si="9"/>
        <v>0</v>
      </c>
      <c r="P47" s="499">
        <f t="shared" si="9"/>
        <v>0</v>
      </c>
      <c r="Q47" s="499">
        <f t="shared" si="9"/>
        <v>0</v>
      </c>
      <c r="R47" s="499">
        <f t="shared" si="9"/>
        <v>0</v>
      </c>
      <c r="S47" s="499">
        <f t="shared" si="9"/>
        <v>0</v>
      </c>
      <c r="T47" s="451">
        <f t="shared" si="0"/>
        <v>0</v>
      </c>
      <c r="U47" s="499">
        <f t="shared" si="9"/>
        <v>0</v>
      </c>
      <c r="V47" s="499">
        <f t="shared" si="9"/>
        <v>0</v>
      </c>
      <c r="W47" s="499">
        <f t="shared" si="9"/>
        <v>0</v>
      </c>
      <c r="X47" s="499">
        <f t="shared" si="9"/>
        <v>0</v>
      </c>
      <c r="Y47" s="499">
        <f t="shared" si="9"/>
        <v>0</v>
      </c>
      <c r="Z47" s="499">
        <f t="shared" si="9"/>
        <v>0</v>
      </c>
      <c r="AA47" s="499">
        <f t="shared" si="9"/>
        <v>0</v>
      </c>
      <c r="AB47" s="499">
        <f t="shared" si="9"/>
        <v>0</v>
      </c>
      <c r="AC47" s="499">
        <f t="shared" si="9"/>
        <v>0</v>
      </c>
      <c r="AD47" s="499">
        <f t="shared" si="9"/>
        <v>0</v>
      </c>
      <c r="AE47" s="499">
        <f t="shared" si="9"/>
        <v>0</v>
      </c>
      <c r="AF47" s="499">
        <f t="shared" si="9"/>
        <v>0</v>
      </c>
      <c r="AG47" s="451">
        <f t="shared" si="1"/>
        <v>0</v>
      </c>
      <c r="AH47" s="499">
        <f t="shared" si="9"/>
        <v>0</v>
      </c>
      <c r="AI47" s="499">
        <f t="shared" si="9"/>
        <v>0</v>
      </c>
      <c r="AJ47" s="499">
        <f t="shared" si="9"/>
        <v>0</v>
      </c>
      <c r="AK47" s="499">
        <f t="shared" si="9"/>
        <v>0</v>
      </c>
      <c r="AL47" s="499">
        <f t="shared" si="9"/>
        <v>0</v>
      </c>
      <c r="AM47" s="499">
        <f t="shared" si="9"/>
        <v>0</v>
      </c>
      <c r="AN47" s="499">
        <f t="shared" si="9"/>
        <v>0</v>
      </c>
      <c r="AO47" s="499">
        <f t="shared" si="9"/>
        <v>0</v>
      </c>
      <c r="AP47" s="499">
        <f t="shared" si="9"/>
        <v>0</v>
      </c>
      <c r="AQ47" s="499">
        <f t="shared" si="9"/>
        <v>0</v>
      </c>
      <c r="AR47" s="499">
        <f t="shared" si="9"/>
        <v>0</v>
      </c>
      <c r="AS47" s="499">
        <f t="shared" si="9"/>
        <v>0</v>
      </c>
      <c r="AT47" s="451">
        <f t="shared" si="2"/>
        <v>0</v>
      </c>
      <c r="AU47" s="499">
        <f t="shared" si="9"/>
        <v>0</v>
      </c>
      <c r="AV47" s="499">
        <f t="shared" si="9"/>
        <v>0</v>
      </c>
      <c r="AW47" s="499">
        <f t="shared" si="9"/>
        <v>0</v>
      </c>
      <c r="AX47" s="499">
        <f t="shared" si="9"/>
        <v>0</v>
      </c>
      <c r="AY47" s="499">
        <f t="shared" si="9"/>
        <v>0</v>
      </c>
      <c r="AZ47" s="499">
        <f t="shared" si="9"/>
        <v>0</v>
      </c>
      <c r="BA47" s="499">
        <f t="shared" si="9"/>
        <v>0</v>
      </c>
      <c r="BB47" s="499">
        <f t="shared" si="9"/>
        <v>0</v>
      </c>
      <c r="BC47" s="499">
        <f t="shared" si="9"/>
        <v>0</v>
      </c>
      <c r="BD47" s="499">
        <f t="shared" si="9"/>
        <v>0</v>
      </c>
      <c r="BE47" s="499">
        <f t="shared" si="9"/>
        <v>0</v>
      </c>
      <c r="BF47" s="499">
        <f t="shared" si="9"/>
        <v>0</v>
      </c>
      <c r="BG47" s="451">
        <f t="shared" si="3"/>
        <v>0</v>
      </c>
    </row>
    <row r="48" spans="1:59">
      <c r="A48" s="459"/>
      <c r="B48" s="142" t="s">
        <v>921</v>
      </c>
      <c r="C48" s="490"/>
      <c r="D48" s="13"/>
      <c r="E48" s="499">
        <f>+E43-E47</f>
        <v>0</v>
      </c>
      <c r="F48" s="499">
        <v>0</v>
      </c>
      <c r="H48" s="53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451">
        <f t="shared" si="0"/>
        <v>0</v>
      </c>
      <c r="U48" s="538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451">
        <f t="shared" si="1"/>
        <v>0</v>
      </c>
      <c r="AH48" s="538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451">
        <f t="shared" si="2"/>
        <v>0</v>
      </c>
      <c r="AU48" s="538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451">
        <f t="shared" si="3"/>
        <v>0</v>
      </c>
    </row>
    <row r="49" spans="1:59">
      <c r="A49" s="459"/>
      <c r="B49" s="13"/>
      <c r="C49" s="13"/>
      <c r="D49" s="13"/>
      <c r="E49" s="498"/>
      <c r="F49" s="574"/>
      <c r="H49" s="53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451">
        <f t="shared" si="0"/>
        <v>0</v>
      </c>
      <c r="U49" s="538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451">
        <f t="shared" si="1"/>
        <v>0</v>
      </c>
      <c r="AH49" s="538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451">
        <f t="shared" si="2"/>
        <v>0</v>
      </c>
      <c r="AU49" s="538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451">
        <f t="shared" si="3"/>
        <v>0</v>
      </c>
    </row>
    <row r="50" spans="1:59">
      <c r="A50" s="495" t="s">
        <v>924</v>
      </c>
      <c r="B50" s="490"/>
      <c r="C50" s="490"/>
      <c r="D50" s="13"/>
      <c r="E50" s="502">
        <f>+E48+E38+E26</f>
        <v>16093766.509999992</v>
      </c>
      <c r="F50" s="502">
        <f>+F48+F38+F26</f>
        <v>45157661.329999983</v>
      </c>
      <c r="G50" s="19"/>
      <c r="H50" s="539">
        <f t="shared" ref="H50:M50" si="10">+H18+H32+H43-H25-H37-H47</f>
        <v>8932552.9199999999</v>
      </c>
      <c r="I50" s="539">
        <f t="shared" si="10"/>
        <v>6788494.2699999996</v>
      </c>
      <c r="J50" s="539">
        <f t="shared" si="10"/>
        <v>23574024.469999999</v>
      </c>
      <c r="K50" s="539">
        <f t="shared" si="10"/>
        <v>12439746.329999998</v>
      </c>
      <c r="L50" s="539">
        <f t="shared" si="10"/>
        <v>4021031.6</v>
      </c>
      <c r="M50" s="539">
        <f t="shared" si="10"/>
        <v>4226484.1100000003</v>
      </c>
      <c r="N50" s="539">
        <f t="shared" ref="N50:BF50" si="11">+N18+N32+N43-N25-N37-N47</f>
        <v>2201447.8499999996</v>
      </c>
      <c r="O50" s="539">
        <f t="shared" si="11"/>
        <v>1568746.23</v>
      </c>
      <c r="P50" s="539">
        <f t="shared" si="11"/>
        <v>3367313.6599999997</v>
      </c>
      <c r="Q50" s="539">
        <f t="shared" si="11"/>
        <v>0</v>
      </c>
      <c r="R50" s="539">
        <f t="shared" si="11"/>
        <v>0</v>
      </c>
      <c r="S50" s="539">
        <f t="shared" si="11"/>
        <v>0</v>
      </c>
      <c r="T50" s="451">
        <f t="shared" si="0"/>
        <v>67119841.439999998</v>
      </c>
      <c r="U50" s="539">
        <f t="shared" si="11"/>
        <v>-2476641.0900000003</v>
      </c>
      <c r="V50" s="539">
        <f t="shared" si="11"/>
        <v>-779403.98</v>
      </c>
      <c r="W50" s="539">
        <f t="shared" si="11"/>
        <v>-9687159.1699999999</v>
      </c>
      <c r="X50" s="539">
        <f t="shared" si="11"/>
        <v>-3204992.5</v>
      </c>
      <c r="Y50" s="539">
        <f t="shared" si="11"/>
        <v>-2551386.44</v>
      </c>
      <c r="Z50" s="539">
        <f t="shared" si="11"/>
        <v>-1480196.1800000002</v>
      </c>
      <c r="AA50" s="539">
        <f t="shared" si="11"/>
        <v>-3244530.0599999996</v>
      </c>
      <c r="AB50" s="539">
        <f t="shared" si="11"/>
        <v>-4037237.5300000003</v>
      </c>
      <c r="AC50" s="539">
        <f t="shared" si="11"/>
        <v>-3306679.7</v>
      </c>
      <c r="AD50" s="539">
        <f t="shared" si="11"/>
        <v>0</v>
      </c>
      <c r="AE50" s="539">
        <f t="shared" si="11"/>
        <v>0</v>
      </c>
      <c r="AF50" s="539">
        <f t="shared" si="11"/>
        <v>0</v>
      </c>
      <c r="AG50" s="451">
        <f t="shared" si="1"/>
        <v>-30768226.649999999</v>
      </c>
      <c r="AH50" s="539">
        <f t="shared" si="11"/>
        <v>-193825.31</v>
      </c>
      <c r="AI50" s="539">
        <f t="shared" si="11"/>
        <v>-2263115.38</v>
      </c>
      <c r="AJ50" s="539">
        <f t="shared" si="11"/>
        <v>-4276794.3000000007</v>
      </c>
      <c r="AK50" s="539">
        <f t="shared" si="11"/>
        <v>-3083302.98</v>
      </c>
      <c r="AL50" s="539">
        <f t="shared" si="11"/>
        <v>-2012478.3400000003</v>
      </c>
      <c r="AM50" s="539">
        <f t="shared" si="11"/>
        <v>-3446853.1500000004</v>
      </c>
      <c r="AN50" s="539">
        <f t="shared" si="11"/>
        <v>-2100141.3800000004</v>
      </c>
      <c r="AO50" s="539">
        <f t="shared" si="11"/>
        <v>-506344.64999999991</v>
      </c>
      <c r="AP50" s="539">
        <f t="shared" si="11"/>
        <v>-2075272.79</v>
      </c>
      <c r="AQ50" s="539">
        <f t="shared" si="11"/>
        <v>0</v>
      </c>
      <c r="AR50" s="539">
        <f t="shared" si="11"/>
        <v>0</v>
      </c>
      <c r="AS50" s="539">
        <f t="shared" si="11"/>
        <v>0</v>
      </c>
      <c r="AT50" s="451">
        <f t="shared" si="2"/>
        <v>-19958128.279999997</v>
      </c>
      <c r="AU50" s="539">
        <f t="shared" si="11"/>
        <v>0</v>
      </c>
      <c r="AV50" s="539">
        <f t="shared" si="11"/>
        <v>0</v>
      </c>
      <c r="AW50" s="539">
        <f t="shared" si="11"/>
        <v>-299720</v>
      </c>
      <c r="AX50" s="539">
        <f t="shared" si="11"/>
        <v>0</v>
      </c>
      <c r="AY50" s="539">
        <f t="shared" si="11"/>
        <v>0</v>
      </c>
      <c r="AZ50" s="539">
        <f t="shared" si="11"/>
        <v>0</v>
      </c>
      <c r="BA50" s="539">
        <f t="shared" si="11"/>
        <v>0</v>
      </c>
      <c r="BB50" s="539">
        <f t="shared" si="11"/>
        <v>0</v>
      </c>
      <c r="BC50" s="539">
        <f t="shared" si="11"/>
        <v>0</v>
      </c>
      <c r="BD50" s="539">
        <f t="shared" si="11"/>
        <v>0</v>
      </c>
      <c r="BE50" s="539">
        <f t="shared" si="11"/>
        <v>0</v>
      </c>
      <c r="BF50" s="539">
        <f t="shared" si="11"/>
        <v>0</v>
      </c>
      <c r="BG50" s="451">
        <f t="shared" si="3"/>
        <v>-299720</v>
      </c>
    </row>
    <row r="51" spans="1:59">
      <c r="A51" s="495" t="s">
        <v>963</v>
      </c>
      <c r="B51" s="490"/>
      <c r="C51" s="490"/>
      <c r="D51" s="13"/>
      <c r="E51" s="503">
        <v>122434866.60000001</v>
      </c>
      <c r="F51" s="574">
        <v>77277205.270000026</v>
      </c>
      <c r="H51" s="642">
        <f>+H50-[2]CRJ!$J$840</f>
        <v>0</v>
      </c>
      <c r="I51" s="13"/>
      <c r="J51" s="13"/>
      <c r="K51" s="16"/>
      <c r="L51" s="13"/>
      <c r="M51" s="13"/>
      <c r="N51" s="16">
        <f>+[3]CRJ!$J$877-3000-N50</f>
        <v>0</v>
      </c>
      <c r="O51" s="16">
        <f>1568746.23-O50</f>
        <v>0</v>
      </c>
      <c r="P51" s="13"/>
      <c r="Q51" s="13"/>
      <c r="R51" s="13"/>
      <c r="S51" s="13"/>
      <c r="T51" s="451">
        <f t="shared" si="0"/>
        <v>0</v>
      </c>
      <c r="U51" s="459"/>
      <c r="V51" s="13"/>
      <c r="W51" s="16"/>
      <c r="X51" s="16">
        <v>3204992.5000000005</v>
      </c>
      <c r="Y51" s="13"/>
      <c r="Z51" s="13"/>
      <c r="AA51" s="16">
        <f>+AA50+[3]ChkDJ!$K$595</f>
        <v>0</v>
      </c>
      <c r="AB51" s="16">
        <f>4037237.53+AB50</f>
        <v>0</v>
      </c>
      <c r="AC51" s="13"/>
      <c r="AD51" s="13"/>
      <c r="AE51" s="13"/>
      <c r="AF51" s="13"/>
      <c r="AG51" s="451">
        <f t="shared" si="1"/>
        <v>3204992.5000000005</v>
      </c>
      <c r="AH51" s="459"/>
      <c r="AI51" s="13"/>
      <c r="AJ51" s="13"/>
      <c r="AK51" s="16"/>
      <c r="AL51" s="16">
        <v>2012478.3400000003</v>
      </c>
      <c r="AM51" s="13"/>
      <c r="AN51" s="16">
        <f>+AN50-[3]GL!$M$370</f>
        <v>0</v>
      </c>
      <c r="AO51" s="16">
        <f>-506344.65-AO50</f>
        <v>0</v>
      </c>
      <c r="AP51" s="13"/>
      <c r="AQ51" s="13"/>
      <c r="AR51" s="13"/>
      <c r="AS51" s="13"/>
      <c r="AT51" s="451">
        <f t="shared" si="2"/>
        <v>2012478.3400000003</v>
      </c>
      <c r="AU51" s="459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451">
        <f t="shared" si="3"/>
        <v>0</v>
      </c>
    </row>
    <row r="52" spans="1:59" ht="13.5" thickBot="1">
      <c r="A52" s="496" t="s">
        <v>962</v>
      </c>
      <c r="B52" s="492"/>
      <c r="C52" s="492"/>
      <c r="D52" s="14"/>
      <c r="E52" s="506">
        <f>+E51+E50</f>
        <v>138528633.11000001</v>
      </c>
      <c r="F52" s="506">
        <f>+F51+F50</f>
        <v>122434866.60000001</v>
      </c>
      <c r="G52" s="19">
        <f>+E52-BS!F25</f>
        <v>0</v>
      </c>
      <c r="H52" s="540"/>
      <c r="I52" s="14"/>
      <c r="J52" s="14"/>
      <c r="K52" s="17"/>
      <c r="L52" s="17"/>
      <c r="M52" s="10"/>
      <c r="N52" s="14"/>
      <c r="O52" s="17"/>
      <c r="P52" s="14"/>
      <c r="Q52" s="14"/>
      <c r="R52" s="14"/>
      <c r="S52" s="14"/>
      <c r="T52" s="451">
        <f t="shared" si="0"/>
        <v>0</v>
      </c>
      <c r="U52" s="551"/>
      <c r="V52" s="14"/>
      <c r="W52" s="17"/>
      <c r="X52" s="17">
        <f>+X51+X50</f>
        <v>0</v>
      </c>
      <c r="Y52" s="17"/>
      <c r="Z52" s="10"/>
      <c r="AA52" s="14"/>
      <c r="AB52" s="17"/>
      <c r="AC52" s="14"/>
      <c r="AD52" s="14"/>
      <c r="AE52" s="14"/>
      <c r="AF52" s="14"/>
      <c r="AG52" s="451">
        <f t="shared" si="1"/>
        <v>0</v>
      </c>
      <c r="AH52" s="551"/>
      <c r="AI52" s="17"/>
      <c r="AJ52" s="17"/>
      <c r="AK52" s="17"/>
      <c r="AL52" s="17">
        <f>+AL50+AL51</f>
        <v>0</v>
      </c>
      <c r="AM52" s="17"/>
      <c r="AN52" s="17"/>
      <c r="AO52" s="14"/>
      <c r="AP52" s="14"/>
      <c r="AQ52" s="14"/>
      <c r="AR52" s="14"/>
      <c r="AS52" s="14"/>
      <c r="AT52" s="451">
        <f t="shared" si="2"/>
        <v>0</v>
      </c>
      <c r="AU52" s="540"/>
      <c r="AV52" s="14"/>
      <c r="AW52" s="14"/>
      <c r="AX52" s="14"/>
      <c r="AY52" s="14"/>
      <c r="AZ52" s="541"/>
      <c r="BA52" s="14"/>
      <c r="BB52" s="14"/>
      <c r="BC52" s="14"/>
      <c r="BD52" s="14"/>
      <c r="BE52" s="14"/>
      <c r="BF52" s="14"/>
      <c r="BG52" s="451">
        <f t="shared" si="3"/>
        <v>0</v>
      </c>
    </row>
    <row r="53" spans="1:59" ht="13.5" thickTop="1">
      <c r="G53" s="19">
        <f>+F52-E51</f>
        <v>0</v>
      </c>
      <c r="I53" s="19"/>
      <c r="M53" s="19"/>
      <c r="U53" s="19"/>
      <c r="X53" s="19"/>
      <c r="Y53" s="19"/>
      <c r="Z53" s="19"/>
      <c r="AM53" s="19"/>
      <c r="AZ53" s="19"/>
    </row>
    <row r="54" spans="1:59">
      <c r="F54" s="19"/>
      <c r="G54" s="542">
        <f>+F52-BS!G25</f>
        <v>0</v>
      </c>
    </row>
    <row r="55" spans="1:59">
      <c r="G55" s="19"/>
      <c r="V55" s="19"/>
    </row>
    <row r="56" spans="1:59">
      <c r="G56" s="19"/>
    </row>
    <row r="59" spans="1:59">
      <c r="I59" s="19"/>
    </row>
  </sheetData>
  <mergeCells count="9">
    <mergeCell ref="U7:AG7"/>
    <mergeCell ref="AH7:AT7"/>
    <mergeCell ref="AU7:BG7"/>
    <mergeCell ref="D2:F2"/>
    <mergeCell ref="D3:F3"/>
    <mergeCell ref="D4:F4"/>
    <mergeCell ref="D5:F5"/>
    <mergeCell ref="A6:F6"/>
    <mergeCell ref="H7:T7"/>
  </mergeCells>
  <pageMargins left="0.94" right="0.27" top="0.75" bottom="0.75" header="0.3" footer="0.3"/>
  <pageSetup paperSize="2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9"/>
  <sheetViews>
    <sheetView workbookViewId="0">
      <pane xSplit="5" ySplit="7" topLeftCell="K8" activePane="bottomRight" state="frozen"/>
      <selection pane="topRight" activeCell="F1" sqref="F1"/>
      <selection pane="bottomLeft" activeCell="A8" sqref="A8"/>
      <selection pane="bottomRight" activeCell="E38" sqref="E38"/>
    </sheetView>
  </sheetViews>
  <sheetFormatPr defaultRowHeight="12.75"/>
  <cols>
    <col min="1" max="3" width="2" customWidth="1"/>
    <col min="4" max="4" width="56.5703125" customWidth="1"/>
    <col min="5" max="5" width="15.140625" customWidth="1"/>
    <col min="6" max="6" width="14.5703125" bestFit="1" customWidth="1"/>
    <col min="7" max="10" width="14" bestFit="1" customWidth="1"/>
    <col min="11" max="14" width="12.85546875" bestFit="1" customWidth="1"/>
    <col min="15" max="15" width="13.5703125" bestFit="1" customWidth="1"/>
    <col min="16" max="18" width="12.85546875" bestFit="1" customWidth="1"/>
    <col min="19" max="19" width="14" bestFit="1" customWidth="1"/>
    <col min="20" max="22" width="13.5703125" bestFit="1" customWidth="1"/>
    <col min="23" max="23" width="14.5703125" bestFit="1" customWidth="1"/>
    <col min="24" max="26" width="13.5703125" bestFit="1" customWidth="1"/>
    <col min="27" max="27" width="12.85546875" bestFit="1" customWidth="1"/>
    <col min="28" max="28" width="14" bestFit="1" customWidth="1"/>
    <col min="29" max="30" width="12.85546875" bestFit="1" customWidth="1"/>
    <col min="31" max="31" width="11.28515625" bestFit="1" customWidth="1"/>
    <col min="32" max="32" width="14.5703125" bestFit="1" customWidth="1"/>
    <col min="33" max="35" width="13.5703125" bestFit="1" customWidth="1"/>
    <col min="36" max="36" width="12.85546875" bestFit="1" customWidth="1"/>
    <col min="37" max="39" width="13.5703125" bestFit="1" customWidth="1"/>
    <col min="40" max="40" width="12.85546875" bestFit="1" customWidth="1"/>
    <col min="41" max="42" width="13.5703125" bestFit="1" customWidth="1"/>
    <col min="43" max="44" width="12.85546875" bestFit="1" customWidth="1"/>
    <col min="45" max="45" width="13.5703125" bestFit="1" customWidth="1"/>
    <col min="46" max="46" width="12.85546875" bestFit="1" customWidth="1"/>
    <col min="47" max="47" width="11.28515625" bestFit="1" customWidth="1"/>
    <col min="48" max="48" width="10.28515625" bestFit="1" customWidth="1"/>
    <col min="49" max="49" width="11.28515625" bestFit="1" customWidth="1"/>
    <col min="50" max="50" width="10.85546875" bestFit="1" customWidth="1"/>
    <col min="51" max="51" width="11.85546875" bestFit="1" customWidth="1"/>
    <col min="52" max="52" width="10.85546875" bestFit="1" customWidth="1"/>
    <col min="53" max="55" width="11.28515625" bestFit="1" customWidth="1"/>
    <col min="57" max="57" width="12.85546875" bestFit="1" customWidth="1"/>
    <col min="58" max="58" width="13.5703125" bestFit="1" customWidth="1"/>
  </cols>
  <sheetData>
    <row r="1" spans="1:58">
      <c r="D1" s="190"/>
      <c r="E1" s="190"/>
      <c r="G1" s="19"/>
    </row>
    <row r="2" spans="1:58" ht="18">
      <c r="B2" s="191"/>
      <c r="C2" s="191"/>
      <c r="D2" s="694" t="s">
        <v>352</v>
      </c>
      <c r="E2" s="694"/>
      <c r="G2" s="19"/>
    </row>
    <row r="3" spans="1:58" ht="18">
      <c r="B3" s="191"/>
      <c r="C3" s="191"/>
      <c r="D3" s="694" t="s">
        <v>117</v>
      </c>
      <c r="E3" s="694"/>
      <c r="G3" s="19"/>
    </row>
    <row r="4" spans="1:58" ht="15.75">
      <c r="B4" s="191"/>
      <c r="C4" s="191"/>
      <c r="D4" s="730" t="str">
        <f>+IS!A4</f>
        <v>SPECIAL EDUCATION  FUND</v>
      </c>
      <c r="E4" s="730"/>
      <c r="G4" s="19"/>
    </row>
    <row r="5" spans="1:58" ht="15.75">
      <c r="B5" s="191"/>
      <c r="C5" s="191"/>
      <c r="D5" s="730" t="s">
        <v>1127</v>
      </c>
      <c r="E5" s="730"/>
      <c r="G5" s="19"/>
    </row>
    <row r="6" spans="1:58" hidden="1">
      <c r="A6" s="731" t="s">
        <v>909</v>
      </c>
      <c r="B6" s="731"/>
      <c r="C6" s="731"/>
      <c r="D6" s="731"/>
      <c r="E6" s="731"/>
      <c r="G6" s="19"/>
    </row>
    <row r="7" spans="1:58" ht="13.5" thickBot="1">
      <c r="A7" s="578"/>
      <c r="B7" s="578"/>
      <c r="C7" s="578"/>
      <c r="D7" s="578"/>
      <c r="E7" s="578"/>
      <c r="G7" s="727" t="s">
        <v>15</v>
      </c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9"/>
      <c r="T7" s="727" t="s">
        <v>266</v>
      </c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9"/>
      <c r="AG7" s="727" t="s">
        <v>18</v>
      </c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9"/>
      <c r="AT7" s="727" t="s">
        <v>288</v>
      </c>
      <c r="AU7" s="728"/>
      <c r="AV7" s="728"/>
      <c r="AW7" s="728"/>
      <c r="AX7" s="728"/>
      <c r="AY7" s="728"/>
      <c r="AZ7" s="728"/>
      <c r="BA7" s="728"/>
      <c r="BB7" s="728"/>
      <c r="BC7" s="728"/>
      <c r="BD7" s="728"/>
      <c r="BE7" s="728"/>
      <c r="BF7" s="729"/>
    </row>
    <row r="8" spans="1:58">
      <c r="A8" s="578"/>
      <c r="B8" s="578"/>
      <c r="C8" s="578"/>
      <c r="D8" s="578"/>
      <c r="E8" s="578"/>
      <c r="G8" s="536" t="s">
        <v>259</v>
      </c>
      <c r="H8" s="18" t="s">
        <v>260</v>
      </c>
      <c r="I8" s="18" t="s">
        <v>261</v>
      </c>
      <c r="J8" s="18" t="s">
        <v>262</v>
      </c>
      <c r="K8" s="18" t="s">
        <v>263</v>
      </c>
      <c r="L8" s="18" t="s">
        <v>264</v>
      </c>
      <c r="M8" s="18" t="s">
        <v>256</v>
      </c>
      <c r="N8" s="18" t="s">
        <v>257</v>
      </c>
      <c r="O8" s="18" t="s">
        <v>327</v>
      </c>
      <c r="P8" s="18" t="s">
        <v>250</v>
      </c>
      <c r="Q8" s="18" t="s">
        <v>251</v>
      </c>
      <c r="R8" s="18" t="s">
        <v>328</v>
      </c>
      <c r="S8" s="193" t="s">
        <v>118</v>
      </c>
      <c r="T8" s="536" t="s">
        <v>259</v>
      </c>
      <c r="U8" s="12" t="s">
        <v>260</v>
      </c>
      <c r="V8" s="18" t="s">
        <v>261</v>
      </c>
      <c r="W8" s="18" t="s">
        <v>262</v>
      </c>
      <c r="X8" s="18" t="s">
        <v>263</v>
      </c>
      <c r="Y8" s="18" t="s">
        <v>264</v>
      </c>
      <c r="Z8" s="18" t="s">
        <v>256</v>
      </c>
      <c r="AA8" s="18" t="s">
        <v>257</v>
      </c>
      <c r="AB8" s="18" t="s">
        <v>258</v>
      </c>
      <c r="AC8" s="18" t="s">
        <v>329</v>
      </c>
      <c r="AD8" s="18" t="s">
        <v>251</v>
      </c>
      <c r="AE8" s="18" t="s">
        <v>328</v>
      </c>
      <c r="AF8" s="537" t="s">
        <v>119</v>
      </c>
      <c r="AG8" s="536" t="s">
        <v>259</v>
      </c>
      <c r="AH8" s="18" t="s">
        <v>260</v>
      </c>
      <c r="AI8" s="18" t="s">
        <v>261</v>
      </c>
      <c r="AJ8" s="18" t="s">
        <v>262</v>
      </c>
      <c r="AK8" s="18" t="s">
        <v>263</v>
      </c>
      <c r="AL8" s="18" t="s">
        <v>264</v>
      </c>
      <c r="AM8" s="18" t="s">
        <v>256</v>
      </c>
      <c r="AN8" s="18" t="s">
        <v>257</v>
      </c>
      <c r="AO8" s="18" t="s">
        <v>258</v>
      </c>
      <c r="AP8" s="18" t="s">
        <v>329</v>
      </c>
      <c r="AQ8" s="18" t="s">
        <v>251</v>
      </c>
      <c r="AR8" s="18" t="s">
        <v>328</v>
      </c>
      <c r="AS8" s="537" t="s">
        <v>118</v>
      </c>
      <c r="AT8" s="536" t="s">
        <v>259</v>
      </c>
      <c r="AU8" s="18" t="s">
        <v>260</v>
      </c>
      <c r="AV8" s="18" t="s">
        <v>261</v>
      </c>
      <c r="AW8" s="18" t="s">
        <v>262</v>
      </c>
      <c r="AX8" s="18" t="s">
        <v>263</v>
      </c>
      <c r="AY8" s="18" t="s">
        <v>264</v>
      </c>
      <c r="AZ8" s="18" t="s">
        <v>256</v>
      </c>
      <c r="BA8" s="18" t="s">
        <v>257</v>
      </c>
      <c r="BB8" s="18" t="s">
        <v>258</v>
      </c>
      <c r="BC8" s="13" t="s">
        <v>250</v>
      </c>
      <c r="BD8" s="13" t="s">
        <v>299</v>
      </c>
      <c r="BE8" s="13" t="s">
        <v>252</v>
      </c>
      <c r="BF8" s="194" t="s">
        <v>119</v>
      </c>
    </row>
    <row r="9" spans="1:58">
      <c r="A9" s="494"/>
      <c r="B9" s="489"/>
      <c r="C9" s="489"/>
      <c r="D9" s="489"/>
      <c r="E9" s="497"/>
      <c r="G9" s="53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51">
        <f>SUM(J9:R9)</f>
        <v>0</v>
      </c>
      <c r="T9" s="538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451">
        <f t="shared" ref="AF9:AF12" si="0">SUM(W9:AE9)</f>
        <v>0</v>
      </c>
      <c r="AG9" s="538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451">
        <f t="shared" ref="AS9:AS12" si="1">SUM(AJ9:AR9)</f>
        <v>0</v>
      </c>
      <c r="AT9" s="538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451">
        <f t="shared" ref="BF9:BF12" si="2">SUM(AW9:BE9)</f>
        <v>0</v>
      </c>
    </row>
    <row r="10" spans="1:58">
      <c r="A10" s="495" t="s">
        <v>120</v>
      </c>
      <c r="B10" s="13"/>
      <c r="C10" s="13"/>
      <c r="D10" s="13"/>
      <c r="E10" s="498"/>
      <c r="G10" s="53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51">
        <f t="shared" ref="S10:S12" si="3">SUM(J10:R10)</f>
        <v>0</v>
      </c>
      <c r="T10" s="538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451">
        <f t="shared" si="0"/>
        <v>0</v>
      </c>
      <c r="AG10" s="538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451">
        <f t="shared" si="1"/>
        <v>0</v>
      </c>
      <c r="AT10" s="538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451">
        <f t="shared" si="2"/>
        <v>0</v>
      </c>
    </row>
    <row r="11" spans="1:58">
      <c r="A11" s="459"/>
      <c r="B11" s="490" t="s">
        <v>121</v>
      </c>
      <c r="C11" s="490"/>
      <c r="D11" s="13"/>
      <c r="E11" s="498"/>
      <c r="G11" s="53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51">
        <f>SUM(M11:R11)</f>
        <v>0</v>
      </c>
      <c r="T11" s="538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451">
        <f>SUM(Z11:AE11)</f>
        <v>0</v>
      </c>
      <c r="AG11" s="538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451">
        <f>SUM(AM11:AR11)</f>
        <v>0</v>
      </c>
      <c r="AT11" s="538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451">
        <f>SUM(AZ11:BE11)</f>
        <v>0</v>
      </c>
    </row>
    <row r="12" spans="1:58" ht="12.75" hidden="1" customHeight="1">
      <c r="A12" s="459"/>
      <c r="B12" s="490"/>
      <c r="C12" s="491" t="s">
        <v>396</v>
      </c>
      <c r="E12" s="498">
        <f t="shared" ref="E12:E17" si="4">+S12+AF12+AS12+BF12</f>
        <v>0</v>
      </c>
      <c r="G12" s="53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51">
        <f t="shared" si="3"/>
        <v>0</v>
      </c>
      <c r="T12" s="53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451">
        <f t="shared" si="0"/>
        <v>0</v>
      </c>
      <c r="AG12" s="538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451">
        <f t="shared" si="1"/>
        <v>0</v>
      </c>
      <c r="AT12" s="538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451">
        <f t="shared" si="2"/>
        <v>0</v>
      </c>
    </row>
    <row r="13" spans="1:58">
      <c r="A13" s="459"/>
      <c r="B13" s="490"/>
      <c r="C13" s="491" t="s">
        <v>934</v>
      </c>
      <c r="E13" s="498">
        <f t="shared" si="4"/>
        <v>7120329.5700000003</v>
      </c>
      <c r="G13" s="538">
        <f>8932552.92-73.67-13.95-377.73</f>
        <v>8932087.5700000003</v>
      </c>
      <c r="H13" s="12">
        <f>6788494.27-60.72-116.11</f>
        <v>6788317.4399999995</v>
      </c>
      <c r="I13" s="12">
        <f>133115.43+24209565.4+905605.09+1701422.21-5797.51-3370561.77</f>
        <v>23573348.849999998</v>
      </c>
      <c r="J13" s="12">
        <f>1143110.82+12863413.42-874.97-1567070.21</f>
        <v>12438579.059999999</v>
      </c>
      <c r="K13" s="12">
        <f>4021031.6-117000</f>
        <v>3904031.6</v>
      </c>
      <c r="L13" s="12">
        <f>4226484.11-4750-1828.83-18.46</f>
        <v>4219886.82</v>
      </c>
      <c r="M13" s="12">
        <v>2201298.8299999996</v>
      </c>
      <c r="N13" s="12">
        <f>1567159.09+4746.71-319.76-3818.95</f>
        <v>1567767.09</v>
      </c>
      <c r="O13" s="12">
        <f>352246.23+289749.11+2838937.25+4456.99-5340.22-128785.71</f>
        <v>3351263.65</v>
      </c>
      <c r="P13" s="12"/>
      <c r="Q13" s="12"/>
      <c r="R13" s="12"/>
      <c r="S13" s="451">
        <f t="shared" ref="S13:S52" si="5">SUM(M13:R13)</f>
        <v>7120329.5700000003</v>
      </c>
      <c r="T13" s="538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451">
        <f t="shared" ref="AF13:AF52" si="6">SUM(Z13:AE13)</f>
        <v>0</v>
      </c>
      <c r="AG13" s="538"/>
      <c r="AH13" s="12">
        <v>-50715</v>
      </c>
      <c r="AI13" s="12">
        <v>-23027.38</v>
      </c>
      <c r="AJ13" s="12">
        <v>-10000</v>
      </c>
      <c r="AK13" s="12"/>
      <c r="AL13" s="12">
        <f>-5978.85-504.46</f>
        <v>-6483.31</v>
      </c>
      <c r="AM13" s="8"/>
      <c r="AN13" s="12"/>
      <c r="AO13" s="12"/>
      <c r="AP13" s="12"/>
      <c r="AQ13" s="12"/>
      <c r="AR13" s="12"/>
      <c r="AS13" s="451">
        <f t="shared" ref="AS13:AS52" si="7">SUM(AM13:AR13)</f>
        <v>0</v>
      </c>
      <c r="AT13" s="538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451">
        <f t="shared" ref="BF13:BF52" si="8">SUM(AZ13:BE13)</f>
        <v>0</v>
      </c>
    </row>
    <row r="14" spans="1:58" ht="12.75" hidden="1" customHeight="1">
      <c r="A14" s="459"/>
      <c r="B14" s="490"/>
      <c r="C14" s="13" t="s">
        <v>397</v>
      </c>
      <c r="E14" s="498">
        <f t="shared" si="4"/>
        <v>0</v>
      </c>
      <c r="G14" s="53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51">
        <f t="shared" si="5"/>
        <v>0</v>
      </c>
      <c r="T14" s="538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451">
        <f t="shared" si="6"/>
        <v>0</v>
      </c>
      <c r="AG14" s="538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451">
        <f t="shared" si="7"/>
        <v>0</v>
      </c>
      <c r="AT14" s="538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451">
        <f t="shared" si="8"/>
        <v>0</v>
      </c>
    </row>
    <row r="15" spans="1:58">
      <c r="A15" s="459"/>
      <c r="B15" s="490"/>
      <c r="C15" s="491" t="s">
        <v>398</v>
      </c>
      <c r="E15" s="498">
        <f t="shared" si="4"/>
        <v>420410.56</v>
      </c>
      <c r="G15" s="53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451">
        <f t="shared" si="5"/>
        <v>0</v>
      </c>
      <c r="T15" s="538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451">
        <f t="shared" si="6"/>
        <v>0</v>
      </c>
      <c r="AG15" s="538">
        <v>91603.68</v>
      </c>
      <c r="AH15" s="12">
        <v>93844.44</v>
      </c>
      <c r="AI15" s="12">
        <v>91389.489999999991</v>
      </c>
      <c r="AJ15" s="12">
        <f>59966.89+91974.68</f>
        <v>151941.57</v>
      </c>
      <c r="AK15" s="12">
        <v>120891.19</v>
      </c>
      <c r="AL15" s="12">
        <v>119351.94</v>
      </c>
      <c r="AM15" s="12">
        <v>177799.82</v>
      </c>
      <c r="AN15" s="660">
        <v>136767.28</v>
      </c>
      <c r="AO15" s="12">
        <v>105843.46</v>
      </c>
      <c r="AP15" s="12"/>
      <c r="AQ15" s="12"/>
      <c r="AR15" s="12"/>
      <c r="AS15" s="451">
        <f t="shared" si="7"/>
        <v>420410.56</v>
      </c>
      <c r="AT15" s="538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451">
        <f t="shared" si="8"/>
        <v>0</v>
      </c>
    </row>
    <row r="16" spans="1:58" ht="12.75" hidden="1" customHeight="1">
      <c r="A16" s="459"/>
      <c r="B16" s="490"/>
      <c r="C16" s="491" t="s">
        <v>399</v>
      </c>
      <c r="E16" s="498">
        <f t="shared" si="4"/>
        <v>0</v>
      </c>
      <c r="G16" s="53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1">
        <f t="shared" si="5"/>
        <v>0</v>
      </c>
      <c r="T16" s="538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451">
        <f t="shared" si="6"/>
        <v>0</v>
      </c>
      <c r="AG16" s="538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451">
        <f t="shared" si="7"/>
        <v>0</v>
      </c>
      <c r="AT16" s="538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451">
        <f t="shared" si="8"/>
        <v>0</v>
      </c>
    </row>
    <row r="17" spans="1:58">
      <c r="A17" s="459"/>
      <c r="B17" s="490"/>
      <c r="C17" s="491" t="s">
        <v>400</v>
      </c>
      <c r="E17" s="498">
        <f t="shared" si="4"/>
        <v>17178.170000000002</v>
      </c>
      <c r="G17" s="538">
        <f>73.67+377.73+13.95</f>
        <v>465.35</v>
      </c>
      <c r="H17" s="12">
        <f>60.72+116.11</f>
        <v>176.82999999999998</v>
      </c>
      <c r="I17" s="12">
        <f>618.04+57.58</f>
        <v>675.62</v>
      </c>
      <c r="J17" s="12">
        <f>1059.65+107.62</f>
        <v>1167.27</v>
      </c>
      <c r="K17" s="12">
        <v>117000</v>
      </c>
      <c r="L17" s="12">
        <f>4750+1828.83+18.46</f>
        <v>6597.29</v>
      </c>
      <c r="M17" s="12">
        <v>149.02000000000001</v>
      </c>
      <c r="N17" s="12">
        <f>979.04+0.1</f>
        <v>979.14</v>
      </c>
      <c r="O17" s="12">
        <f>11250.01+4800</f>
        <v>16050.01</v>
      </c>
      <c r="P17" s="12"/>
      <c r="Q17" s="12"/>
      <c r="R17" s="12"/>
      <c r="S17" s="451">
        <f t="shared" si="5"/>
        <v>17178.170000000002</v>
      </c>
      <c r="T17" s="538"/>
      <c r="U17" s="12"/>
      <c r="V17" s="12"/>
      <c r="W17" s="12"/>
      <c r="X17" s="12"/>
      <c r="Y17" s="151">
        <v>-24579.46</v>
      </c>
      <c r="Z17" s="12"/>
      <c r="AA17" s="12"/>
      <c r="AB17" s="12"/>
      <c r="AC17" s="12"/>
      <c r="AD17" s="12"/>
      <c r="AE17" s="12"/>
      <c r="AF17" s="451">
        <f t="shared" si="6"/>
        <v>0</v>
      </c>
      <c r="AG17" s="538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451">
        <f t="shared" si="7"/>
        <v>0</v>
      </c>
      <c r="AT17" s="538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451">
        <f t="shared" si="8"/>
        <v>0</v>
      </c>
    </row>
    <row r="18" spans="1:58">
      <c r="A18" s="198"/>
      <c r="C18" s="490" t="s">
        <v>123</v>
      </c>
      <c r="E18" s="499">
        <f>SUM(E12:E17)</f>
        <v>7557918.2999999998</v>
      </c>
      <c r="G18" s="499">
        <f>SUM(G12:G17)</f>
        <v>8932552.9199999999</v>
      </c>
      <c r="H18" s="499">
        <f t="shared" ref="H18:BE18" si="9">SUM(H12:H17)</f>
        <v>6788494.2699999996</v>
      </c>
      <c r="I18" s="499">
        <f t="shared" si="9"/>
        <v>23574024.469999999</v>
      </c>
      <c r="J18" s="499">
        <f t="shared" si="9"/>
        <v>12439746.329999998</v>
      </c>
      <c r="K18" s="499">
        <f t="shared" si="9"/>
        <v>4021031.6</v>
      </c>
      <c r="L18" s="499">
        <f t="shared" si="9"/>
        <v>4226484.1100000003</v>
      </c>
      <c r="M18" s="499">
        <f t="shared" si="9"/>
        <v>2201447.8499999996</v>
      </c>
      <c r="N18" s="499">
        <f t="shared" si="9"/>
        <v>1568746.23</v>
      </c>
      <c r="O18" s="499">
        <f t="shared" si="9"/>
        <v>3367313.6599999997</v>
      </c>
      <c r="P18" s="499">
        <f t="shared" si="9"/>
        <v>0</v>
      </c>
      <c r="Q18" s="499">
        <f t="shared" si="9"/>
        <v>0</v>
      </c>
      <c r="R18" s="499">
        <f t="shared" si="9"/>
        <v>0</v>
      </c>
      <c r="S18" s="451">
        <f t="shared" si="5"/>
        <v>7137507.7399999993</v>
      </c>
      <c r="T18" s="499">
        <f t="shared" si="9"/>
        <v>0</v>
      </c>
      <c r="U18" s="499">
        <f t="shared" si="9"/>
        <v>0</v>
      </c>
      <c r="V18" s="499">
        <f t="shared" si="9"/>
        <v>0</v>
      </c>
      <c r="W18" s="499">
        <f t="shared" si="9"/>
        <v>0</v>
      </c>
      <c r="X18" s="499">
        <f t="shared" si="9"/>
        <v>0</v>
      </c>
      <c r="Y18" s="499">
        <f t="shared" si="9"/>
        <v>-24579.46</v>
      </c>
      <c r="Z18" s="499">
        <f t="shared" si="9"/>
        <v>0</v>
      </c>
      <c r="AA18" s="499">
        <f t="shared" si="9"/>
        <v>0</v>
      </c>
      <c r="AB18" s="499">
        <f t="shared" si="9"/>
        <v>0</v>
      </c>
      <c r="AC18" s="499">
        <f t="shared" si="9"/>
        <v>0</v>
      </c>
      <c r="AD18" s="499">
        <f t="shared" si="9"/>
        <v>0</v>
      </c>
      <c r="AE18" s="499">
        <f t="shared" si="9"/>
        <v>0</v>
      </c>
      <c r="AF18" s="451">
        <f t="shared" si="6"/>
        <v>0</v>
      </c>
      <c r="AG18" s="499">
        <f t="shared" si="9"/>
        <v>91603.68</v>
      </c>
      <c r="AH18" s="499">
        <f t="shared" si="9"/>
        <v>43129.440000000002</v>
      </c>
      <c r="AI18" s="499">
        <f t="shared" si="9"/>
        <v>68362.109999999986</v>
      </c>
      <c r="AJ18" s="499">
        <f t="shared" si="9"/>
        <v>141941.57</v>
      </c>
      <c r="AK18" s="499">
        <f t="shared" si="9"/>
        <v>120891.19</v>
      </c>
      <c r="AL18" s="499">
        <f t="shared" si="9"/>
        <v>112868.63</v>
      </c>
      <c r="AM18" s="499">
        <f t="shared" si="9"/>
        <v>177799.82</v>
      </c>
      <c r="AN18" s="499">
        <f t="shared" si="9"/>
        <v>136767.28</v>
      </c>
      <c r="AO18" s="499">
        <f t="shared" si="9"/>
        <v>105843.46</v>
      </c>
      <c r="AP18" s="499">
        <f t="shared" si="9"/>
        <v>0</v>
      </c>
      <c r="AQ18" s="499">
        <f t="shared" si="9"/>
        <v>0</v>
      </c>
      <c r="AR18" s="499">
        <f t="shared" si="9"/>
        <v>0</v>
      </c>
      <c r="AS18" s="451">
        <f t="shared" si="7"/>
        <v>420410.56</v>
      </c>
      <c r="AT18" s="499">
        <f t="shared" si="9"/>
        <v>0</v>
      </c>
      <c r="AU18" s="499">
        <f t="shared" si="9"/>
        <v>0</v>
      </c>
      <c r="AV18" s="499">
        <f t="shared" si="9"/>
        <v>0</v>
      </c>
      <c r="AW18" s="499">
        <f t="shared" si="9"/>
        <v>0</v>
      </c>
      <c r="AX18" s="499">
        <f t="shared" si="9"/>
        <v>0</v>
      </c>
      <c r="AY18" s="499">
        <f t="shared" si="9"/>
        <v>0</v>
      </c>
      <c r="AZ18" s="499">
        <f t="shared" si="9"/>
        <v>0</v>
      </c>
      <c r="BA18" s="499">
        <f t="shared" si="9"/>
        <v>0</v>
      </c>
      <c r="BB18" s="499">
        <f t="shared" si="9"/>
        <v>0</v>
      </c>
      <c r="BC18" s="499">
        <f t="shared" si="9"/>
        <v>0</v>
      </c>
      <c r="BD18" s="499">
        <f t="shared" si="9"/>
        <v>0</v>
      </c>
      <c r="BE18" s="499">
        <f t="shared" si="9"/>
        <v>0</v>
      </c>
      <c r="BF18" s="451">
        <f t="shared" si="8"/>
        <v>0</v>
      </c>
    </row>
    <row r="19" spans="1:58">
      <c r="A19" s="198"/>
      <c r="B19" s="381" t="s">
        <v>323</v>
      </c>
      <c r="C19" s="381"/>
      <c r="D19" s="142"/>
      <c r="E19" s="498"/>
      <c r="G19" s="53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51">
        <f t="shared" si="5"/>
        <v>0</v>
      </c>
      <c r="T19" s="53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451">
        <f t="shared" si="6"/>
        <v>0</v>
      </c>
      <c r="AG19" s="538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51">
        <f t="shared" si="7"/>
        <v>0</v>
      </c>
      <c r="AT19" s="538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451">
        <f t="shared" si="8"/>
        <v>0</v>
      </c>
    </row>
    <row r="20" spans="1:58">
      <c r="A20" s="459"/>
      <c r="B20" s="381"/>
      <c r="C20" s="491" t="s">
        <v>912</v>
      </c>
      <c r="E20" s="498"/>
      <c r="G20" s="53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51">
        <f t="shared" si="5"/>
        <v>0</v>
      </c>
      <c r="T20" s="538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451">
        <f t="shared" si="6"/>
        <v>0</v>
      </c>
      <c r="AG20" s="538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451">
        <f t="shared" si="7"/>
        <v>0</v>
      </c>
      <c r="AT20" s="538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451">
        <f t="shared" si="8"/>
        <v>0</v>
      </c>
    </row>
    <row r="21" spans="1:58">
      <c r="A21" s="459"/>
      <c r="B21" s="381"/>
      <c r="C21" s="381"/>
      <c r="D21" s="491" t="s">
        <v>910</v>
      </c>
      <c r="E21" s="498">
        <f>+S21+AF21+AS21+BF21</f>
        <v>8031737.6100000003</v>
      </c>
      <c r="G21" s="53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51">
        <f t="shared" si="5"/>
        <v>0</v>
      </c>
      <c r="T21" s="538">
        <f>448018.32+1194337.32+410028.48+68865.54+64588.11+46637.16</f>
        <v>2232474.9300000002</v>
      </c>
      <c r="U21" s="12">
        <v>779403.98</v>
      </c>
      <c r="V21" s="12">
        <f>4754822.43+646643.15+65712.5+52552.83+7000+7000+581201.14+13700+13700+13609+13659+13659+14500+12230+27556.47+85824.3</f>
        <v>6323369.8199999994</v>
      </c>
      <c r="W21" s="12">
        <f>713115.97+127372.26+13700+67927.32+64949.71+1124678.23+65712.5+10471+11016.88+11016.88+11920.5+10271+53158.55+8486+8395+333468.75+65078.97+46875</f>
        <v>2747614.52</v>
      </c>
      <c r="X21" s="12">
        <f>684308.36+1183657.19+9790+26688.01+376743.76+62319.83</f>
        <v>2343507.15</v>
      </c>
      <c r="Y21" s="12">
        <f>450610.68+67200+78015.38+51273.77+483848.75+10402+30034.59+69522.24+1000</f>
        <v>1241907.4100000001</v>
      </c>
      <c r="Z21" s="12">
        <f>288985.96+1291986.47+478449.68+6157.56+784.83+16185.49</f>
        <v>2082549.99</v>
      </c>
      <c r="AA21" s="12">
        <f>582000+1224523.96+8550.45+23679.33+28030.37+38855.45+5831+80514.53+81054.41+4214.77+1696340.72</f>
        <v>3773594.99</v>
      </c>
      <c r="AB21" s="12">
        <f>57176.26+470169.15+51052.13+20447.48+3800+206327.15+10331+500+1000+74189.16+20635.51</f>
        <v>915627.84000000008</v>
      </c>
      <c r="AC21" s="12"/>
      <c r="AD21" s="12"/>
      <c r="AE21" s="12"/>
      <c r="AF21" s="451">
        <f t="shared" si="6"/>
        <v>6771772.8200000003</v>
      </c>
      <c r="AG21" s="538">
        <v>206518.83</v>
      </c>
      <c r="AH21" s="12">
        <v>33987.57</v>
      </c>
      <c r="AI21" s="12">
        <v>227434.59</v>
      </c>
      <c r="AJ21" s="12">
        <v>692394.78</v>
      </c>
      <c r="AK21" s="12">
        <v>260855.15</v>
      </c>
      <c r="AL21" s="12">
        <v>19316.5</v>
      </c>
      <c r="AM21" s="12">
        <v>430090.73</v>
      </c>
      <c r="AN21" s="12">
        <f>120961.86+102786.44+282154.66</f>
        <v>505902.95999999996</v>
      </c>
      <c r="AO21" s="351">
        <f>102911.66+87398.76+133660.68</f>
        <v>323971.09999999998</v>
      </c>
      <c r="AP21" s="12"/>
      <c r="AQ21" s="12"/>
      <c r="AR21" s="424"/>
      <c r="AS21" s="451">
        <f t="shared" si="7"/>
        <v>1259964.79</v>
      </c>
      <c r="AT21" s="538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451">
        <f t="shared" si="8"/>
        <v>0</v>
      </c>
    </row>
    <row r="22" spans="1:58">
      <c r="A22" s="459"/>
      <c r="B22" s="381"/>
      <c r="C22" s="381"/>
      <c r="D22" s="491" t="s">
        <v>911</v>
      </c>
      <c r="E22" s="498">
        <f>+S22+AF22+AS22+BF22</f>
        <v>3849204.59</v>
      </c>
      <c r="G22" s="53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51">
        <f t="shared" si="5"/>
        <v>0</v>
      </c>
      <c r="T22" s="538">
        <v>6000</v>
      </c>
      <c r="U22" s="12"/>
      <c r="V22" s="12"/>
      <c r="W22" s="12"/>
      <c r="X22" s="12"/>
      <c r="Y22" s="12"/>
      <c r="Z22" s="12"/>
      <c r="AA22" s="12">
        <v>7000</v>
      </c>
      <c r="AC22" s="12"/>
      <c r="AD22" s="12"/>
      <c r="AE22" s="12"/>
      <c r="AF22" s="451">
        <f t="shared" si="6"/>
        <v>7000</v>
      </c>
      <c r="AG22" s="538">
        <f>27286.16+51624</f>
        <v>78910.16</v>
      </c>
      <c r="AH22" s="12">
        <f>72000+101690.87+56799.86+28068.43+1969668.26+44029.83</f>
        <v>2272257.25</v>
      </c>
      <c r="AI22" s="12">
        <f>15156.56+27126.81+1908261.57+57639.5+61225.82+28731.43+1958732.54+44675.73</f>
        <v>4101549.9600000004</v>
      </c>
      <c r="AJ22" s="12">
        <f>33820.93+29673.05+651750.6+27126.81+1790478.38</f>
        <v>2532849.77</v>
      </c>
      <c r="AK22" s="12">
        <f>29673.05+60186.29+111348.5+1603274+26006.81+42025.73</f>
        <v>1872514.3800000001</v>
      </c>
      <c r="AL22" s="12">
        <f>1723938.59+29673.05+59715.48+22000+40025.73+26948.43+1638104</f>
        <v>3540405.2800000003</v>
      </c>
      <c r="AM22" s="8">
        <f>28731.43+57394.61+21523.85+22955.99+1717244.59</f>
        <v>1847850.4700000002</v>
      </c>
      <c r="AN22" s="12">
        <f>53840.76+32371.08+23554.48+27442.65</f>
        <v>137208.97</v>
      </c>
      <c r="AO22" s="351">
        <f>1726122+29673.49+49353.26+23925.75+28070.65</f>
        <v>1857145.15</v>
      </c>
      <c r="AP22" s="12"/>
      <c r="AQ22" s="12"/>
      <c r="AR22" s="12"/>
      <c r="AS22" s="451">
        <f t="shared" si="7"/>
        <v>3842204.59</v>
      </c>
      <c r="AT22" s="538"/>
      <c r="AU22" s="12"/>
      <c r="AV22" s="12">
        <v>299720</v>
      </c>
      <c r="AW22" s="12"/>
      <c r="AX22" s="12"/>
      <c r="AY22" s="12"/>
      <c r="AZ22" s="12"/>
      <c r="BA22" s="12"/>
      <c r="BB22" s="12"/>
      <c r="BC22" s="12"/>
      <c r="BD22" s="12"/>
      <c r="BE22" s="12"/>
      <c r="BF22" s="451">
        <f t="shared" si="8"/>
        <v>0</v>
      </c>
    </row>
    <row r="23" spans="1:58">
      <c r="A23" s="459"/>
      <c r="B23" s="381"/>
      <c r="C23" s="491" t="s">
        <v>122</v>
      </c>
      <c r="E23" s="498">
        <f>+S23+AF23+AS23+BF23</f>
        <v>0</v>
      </c>
      <c r="G23" s="5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51">
        <f t="shared" si="5"/>
        <v>0</v>
      </c>
      <c r="T23" s="53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451">
        <f t="shared" si="6"/>
        <v>0</v>
      </c>
      <c r="AG23" s="538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451">
        <f t="shared" si="7"/>
        <v>0</v>
      </c>
      <c r="AT23" s="538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451">
        <f t="shared" si="8"/>
        <v>0</v>
      </c>
    </row>
    <row r="24" spans="1:58">
      <c r="A24" s="459"/>
      <c r="B24" s="381"/>
      <c r="C24" s="491" t="s">
        <v>913</v>
      </c>
      <c r="E24" s="498">
        <f>+S24+AF24+AS24+BF24</f>
        <v>0</v>
      </c>
      <c r="G24" s="53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51">
        <f t="shared" si="5"/>
        <v>0</v>
      </c>
      <c r="T24" s="53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451">
        <f t="shared" si="6"/>
        <v>0</v>
      </c>
      <c r="AG24" s="538"/>
      <c r="AH24" s="12"/>
      <c r="AI24" s="12">
        <v>16171.86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451">
        <f t="shared" si="7"/>
        <v>0</v>
      </c>
      <c r="AT24" s="538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451">
        <f t="shared" si="8"/>
        <v>0</v>
      </c>
    </row>
    <row r="25" spans="1:58">
      <c r="A25" s="198"/>
      <c r="B25" s="13"/>
      <c r="C25" s="491" t="s">
        <v>324</v>
      </c>
      <c r="D25" s="142"/>
      <c r="E25" s="500">
        <f>SUM(E21:E24)</f>
        <v>11880942.199999999</v>
      </c>
      <c r="G25" s="500">
        <f t="shared" ref="G25:BE25" si="10">SUM(G21:G24)</f>
        <v>0</v>
      </c>
      <c r="H25" s="500">
        <f t="shared" si="10"/>
        <v>0</v>
      </c>
      <c r="I25" s="500">
        <f t="shared" si="10"/>
        <v>0</v>
      </c>
      <c r="J25" s="500">
        <f t="shared" si="10"/>
        <v>0</v>
      </c>
      <c r="K25" s="500">
        <f t="shared" si="10"/>
        <v>0</v>
      </c>
      <c r="L25" s="500">
        <f t="shared" si="10"/>
        <v>0</v>
      </c>
      <c r="M25" s="500">
        <f t="shared" si="10"/>
        <v>0</v>
      </c>
      <c r="N25" s="500">
        <f t="shared" si="10"/>
        <v>0</v>
      </c>
      <c r="O25" s="500">
        <f t="shared" si="10"/>
        <v>0</v>
      </c>
      <c r="P25" s="500">
        <f t="shared" si="10"/>
        <v>0</v>
      </c>
      <c r="Q25" s="500">
        <f t="shared" si="10"/>
        <v>0</v>
      </c>
      <c r="R25" s="500">
        <f t="shared" si="10"/>
        <v>0</v>
      </c>
      <c r="S25" s="451">
        <f t="shared" si="5"/>
        <v>0</v>
      </c>
      <c r="T25" s="500">
        <f t="shared" si="10"/>
        <v>2238474.9300000002</v>
      </c>
      <c r="U25" s="500">
        <f t="shared" si="10"/>
        <v>779403.98</v>
      </c>
      <c r="V25" s="500">
        <f>SUM(V21:V24)</f>
        <v>6323369.8199999994</v>
      </c>
      <c r="W25" s="500">
        <f t="shared" ref="W25:AB25" si="11">SUM(W21:W24)</f>
        <v>2747614.52</v>
      </c>
      <c r="X25" s="500">
        <f t="shared" si="11"/>
        <v>2343507.15</v>
      </c>
      <c r="Y25" s="500">
        <f t="shared" si="11"/>
        <v>1241907.4100000001</v>
      </c>
      <c r="Z25" s="500">
        <f t="shared" si="11"/>
        <v>2082549.99</v>
      </c>
      <c r="AA25" s="500">
        <f t="shared" si="11"/>
        <v>3780594.99</v>
      </c>
      <c r="AB25" s="500">
        <f t="shared" si="11"/>
        <v>915627.84000000008</v>
      </c>
      <c r="AC25" s="500">
        <f t="shared" si="10"/>
        <v>0</v>
      </c>
      <c r="AD25" s="500">
        <f t="shared" si="10"/>
        <v>0</v>
      </c>
      <c r="AE25" s="500">
        <f t="shared" si="10"/>
        <v>0</v>
      </c>
      <c r="AF25" s="451">
        <f t="shared" si="6"/>
        <v>6778772.8200000003</v>
      </c>
      <c r="AG25" s="500">
        <f t="shared" si="10"/>
        <v>285428.99</v>
      </c>
      <c r="AH25" s="500">
        <f t="shared" si="10"/>
        <v>2306244.8199999998</v>
      </c>
      <c r="AI25" s="500">
        <f t="shared" si="10"/>
        <v>4345156.4100000011</v>
      </c>
      <c r="AJ25" s="500">
        <f t="shared" si="10"/>
        <v>3225244.55</v>
      </c>
      <c r="AK25" s="500">
        <f t="shared" si="10"/>
        <v>2133369.5300000003</v>
      </c>
      <c r="AL25" s="500">
        <f t="shared" si="10"/>
        <v>3559721.7800000003</v>
      </c>
      <c r="AM25" s="500">
        <f t="shared" si="10"/>
        <v>2277941.2000000002</v>
      </c>
      <c r="AN25" s="500">
        <f t="shared" si="10"/>
        <v>643111.92999999993</v>
      </c>
      <c r="AO25" s="500">
        <f t="shared" si="10"/>
        <v>2181116.25</v>
      </c>
      <c r="AP25" s="500">
        <f t="shared" si="10"/>
        <v>0</v>
      </c>
      <c r="AQ25" s="500">
        <f t="shared" si="10"/>
        <v>0</v>
      </c>
      <c r="AR25" s="500">
        <f t="shared" si="10"/>
        <v>0</v>
      </c>
      <c r="AS25" s="451">
        <f t="shared" si="7"/>
        <v>5102169.38</v>
      </c>
      <c r="AT25" s="500">
        <f t="shared" si="10"/>
        <v>0</v>
      </c>
      <c r="AU25" s="500">
        <f t="shared" si="10"/>
        <v>0</v>
      </c>
      <c r="AV25" s="500">
        <f t="shared" si="10"/>
        <v>299720</v>
      </c>
      <c r="AW25" s="500">
        <f t="shared" si="10"/>
        <v>0</v>
      </c>
      <c r="AX25" s="500">
        <f t="shared" si="10"/>
        <v>0</v>
      </c>
      <c r="AY25" s="500">
        <f t="shared" si="10"/>
        <v>0</v>
      </c>
      <c r="AZ25" s="500">
        <f t="shared" si="10"/>
        <v>0</v>
      </c>
      <c r="BA25" s="500">
        <f t="shared" si="10"/>
        <v>0</v>
      </c>
      <c r="BB25" s="500">
        <f t="shared" si="10"/>
        <v>0</v>
      </c>
      <c r="BC25" s="500">
        <f t="shared" si="10"/>
        <v>0</v>
      </c>
      <c r="BD25" s="500">
        <f t="shared" si="10"/>
        <v>0</v>
      </c>
      <c r="BE25" s="500">
        <f t="shared" si="10"/>
        <v>0</v>
      </c>
      <c r="BF25" s="451">
        <f t="shared" si="8"/>
        <v>0</v>
      </c>
    </row>
    <row r="26" spans="1:58">
      <c r="A26" s="198"/>
      <c r="B26" s="490" t="s">
        <v>914</v>
      </c>
      <c r="C26" s="490"/>
      <c r="D26" s="142"/>
      <c r="E26" s="501">
        <f>+E18-E25</f>
        <v>-4323023.8999999994</v>
      </c>
      <c r="G26" s="53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51">
        <f t="shared" si="5"/>
        <v>0</v>
      </c>
      <c r="T26" s="538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451">
        <f t="shared" si="6"/>
        <v>0</v>
      </c>
      <c r="AG26" s="538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451">
        <f t="shared" si="7"/>
        <v>0</v>
      </c>
      <c r="AT26" s="538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451">
        <f t="shared" si="8"/>
        <v>0</v>
      </c>
    </row>
    <row r="27" spans="1:58">
      <c r="A27" s="495" t="s">
        <v>325</v>
      </c>
      <c r="B27" s="13"/>
      <c r="C27" s="13"/>
      <c r="D27" s="13"/>
      <c r="E27" s="498"/>
      <c r="G27" s="53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51">
        <f t="shared" si="5"/>
        <v>0</v>
      </c>
      <c r="T27" s="538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451">
        <f t="shared" si="6"/>
        <v>0</v>
      </c>
      <c r="AG27" s="538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451">
        <f t="shared" si="7"/>
        <v>0</v>
      </c>
      <c r="AT27" s="538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451">
        <f t="shared" si="8"/>
        <v>0</v>
      </c>
    </row>
    <row r="28" spans="1:58">
      <c r="A28" s="459"/>
      <c r="B28" s="490" t="s">
        <v>121</v>
      </c>
      <c r="C28" s="490"/>
      <c r="D28" s="13"/>
      <c r="E28" s="498"/>
      <c r="G28" s="5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51">
        <f t="shared" si="5"/>
        <v>0</v>
      </c>
      <c r="T28" s="53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451">
        <f t="shared" si="6"/>
        <v>0</v>
      </c>
      <c r="AG28" s="538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451">
        <f t="shared" si="7"/>
        <v>0</v>
      </c>
      <c r="AT28" s="538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451">
        <f t="shared" si="8"/>
        <v>0</v>
      </c>
    </row>
    <row r="29" spans="1:58">
      <c r="A29" s="504"/>
      <c r="B29" s="490"/>
      <c r="C29" s="491" t="s">
        <v>915</v>
      </c>
      <c r="D29" s="491"/>
      <c r="E29" s="498">
        <f>+S29+AF29+AS29+BF29</f>
        <v>0</v>
      </c>
      <c r="G29" s="5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51">
        <f t="shared" si="5"/>
        <v>0</v>
      </c>
      <c r="T29" s="538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451">
        <f t="shared" si="6"/>
        <v>0</v>
      </c>
      <c r="AG29" s="538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451">
        <f t="shared" si="7"/>
        <v>0</v>
      </c>
      <c r="AT29" s="538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451">
        <f t="shared" si="8"/>
        <v>0</v>
      </c>
    </row>
    <row r="30" spans="1:58">
      <c r="A30" s="504"/>
      <c r="B30" s="490"/>
      <c r="C30" s="491" t="s">
        <v>916</v>
      </c>
      <c r="D30" s="491"/>
      <c r="E30" s="498">
        <f>+S30+AF30+AS30+BF30</f>
        <v>0</v>
      </c>
      <c r="G30" s="5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451">
        <f t="shared" si="5"/>
        <v>0</v>
      </c>
      <c r="T30" s="53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451">
        <f t="shared" si="6"/>
        <v>0</v>
      </c>
      <c r="AG30" s="538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451">
        <f t="shared" si="7"/>
        <v>0</v>
      </c>
      <c r="AT30" s="538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451">
        <f t="shared" si="8"/>
        <v>0</v>
      </c>
    </row>
    <row r="31" spans="1:58">
      <c r="A31" s="504"/>
      <c r="B31" s="490"/>
      <c r="C31" s="491" t="s">
        <v>917</v>
      </c>
      <c r="D31" s="491"/>
      <c r="E31" s="498">
        <f>+S31+AF31+AS31+BF31</f>
        <v>0</v>
      </c>
      <c r="G31" s="5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51">
        <f t="shared" si="5"/>
        <v>0</v>
      </c>
      <c r="T31" s="53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451">
        <f t="shared" si="6"/>
        <v>0</v>
      </c>
      <c r="AG31" s="538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451">
        <f t="shared" si="7"/>
        <v>0</v>
      </c>
      <c r="AT31" s="538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451">
        <f t="shared" si="8"/>
        <v>0</v>
      </c>
    </row>
    <row r="32" spans="1:58">
      <c r="A32" s="504"/>
      <c r="B32" s="13"/>
      <c r="C32" s="491" t="s">
        <v>123</v>
      </c>
      <c r="D32" s="13"/>
      <c r="E32" s="499">
        <f>SUM(E29:E31)</f>
        <v>0</v>
      </c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51">
        <f t="shared" si="5"/>
        <v>0</v>
      </c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51">
        <f t="shared" si="6"/>
        <v>0</v>
      </c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51">
        <f t="shared" si="7"/>
        <v>0</v>
      </c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51">
        <f t="shared" si="8"/>
        <v>0</v>
      </c>
    </row>
    <row r="33" spans="1:58">
      <c r="A33" s="459"/>
      <c r="B33" s="381" t="s">
        <v>323</v>
      </c>
      <c r="C33" s="381"/>
      <c r="D33" s="505"/>
      <c r="E33" s="498"/>
      <c r="G33" s="53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51">
        <f t="shared" si="5"/>
        <v>0</v>
      </c>
      <c r="T33" s="538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451">
        <f t="shared" si="6"/>
        <v>0</v>
      </c>
      <c r="AG33" s="538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451">
        <f t="shared" si="7"/>
        <v>0</v>
      </c>
      <c r="AT33" s="538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451">
        <f t="shared" si="8"/>
        <v>0</v>
      </c>
    </row>
    <row r="34" spans="1:58">
      <c r="A34" s="504"/>
      <c r="B34" s="381"/>
      <c r="C34" s="505" t="s">
        <v>918</v>
      </c>
      <c r="D34" s="505"/>
      <c r="E34" s="498">
        <f>+S34+AF34+AS34+BF34</f>
        <v>3809674.4699999997</v>
      </c>
      <c r="G34" s="53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51">
        <f t="shared" si="5"/>
        <v>0</v>
      </c>
      <c r="T34" s="538">
        <v>238166.16</v>
      </c>
      <c r="U34" s="12"/>
      <c r="V34" s="12">
        <f>858346.65+498941.76+746149.1+368891.29+308481.73+51080.26+531898.56</f>
        <v>3363789.35</v>
      </c>
      <c r="W34" s="12">
        <f>100723.7+213178.35+137801.35+5674.58</f>
        <v>457377.98000000004</v>
      </c>
      <c r="X34" s="12">
        <f>107152.23+100727.06</f>
        <v>207879.28999999998</v>
      </c>
      <c r="Y34" s="12">
        <f>56341.29+100647.48+56720.54</f>
        <v>213709.31</v>
      </c>
      <c r="Z34" s="12">
        <f>25888.27+324957.37+325463.81+325684.75+159985.87</f>
        <v>1161980.0699999998</v>
      </c>
      <c r="AA34" s="12">
        <f>90053.17+166589.37</f>
        <v>256642.53999999998</v>
      </c>
      <c r="AB34" s="542">
        <f>159902.16+348901.75+400783.09+393751.43+679897.36+407816.07</f>
        <v>2391051.86</v>
      </c>
      <c r="AC34" s="12"/>
      <c r="AD34" s="12"/>
      <c r="AE34" s="12"/>
      <c r="AF34" s="451">
        <f t="shared" si="6"/>
        <v>3809674.4699999997</v>
      </c>
      <c r="AG34" s="538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451">
        <f t="shared" si="7"/>
        <v>0</v>
      </c>
      <c r="AT34" s="538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451">
        <f t="shared" si="8"/>
        <v>0</v>
      </c>
    </row>
    <row r="35" spans="1:58">
      <c r="A35" s="504"/>
      <c r="B35" s="381"/>
      <c r="C35" s="491" t="s">
        <v>919</v>
      </c>
      <c r="D35" s="491"/>
      <c r="E35" s="498">
        <f>+S35+AF35+AS35+BF35</f>
        <v>0</v>
      </c>
      <c r="G35" s="53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51">
        <f t="shared" si="5"/>
        <v>0</v>
      </c>
      <c r="T35" s="538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451">
        <f t="shared" si="6"/>
        <v>0</v>
      </c>
      <c r="AG35" s="538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451">
        <f t="shared" si="7"/>
        <v>0</v>
      </c>
      <c r="AT35" s="538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451">
        <f t="shared" si="8"/>
        <v>0</v>
      </c>
    </row>
    <row r="36" spans="1:58">
      <c r="A36" s="504"/>
      <c r="B36" s="505"/>
      <c r="C36" s="505" t="s">
        <v>920</v>
      </c>
      <c r="D36" s="505"/>
      <c r="E36" s="498">
        <f>+S36+AF36+AS36+BF36</f>
        <v>0</v>
      </c>
      <c r="G36" s="53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51">
        <f t="shared" si="5"/>
        <v>0</v>
      </c>
      <c r="T36" s="538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451">
        <f t="shared" si="6"/>
        <v>0</v>
      </c>
      <c r="AG36" s="538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451">
        <f t="shared" si="7"/>
        <v>0</v>
      </c>
      <c r="AT36" s="538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451">
        <f t="shared" si="8"/>
        <v>0</v>
      </c>
    </row>
    <row r="37" spans="1:58">
      <c r="A37" s="459"/>
      <c r="B37" s="13"/>
      <c r="C37" s="491" t="s">
        <v>324</v>
      </c>
      <c r="D37" s="13"/>
      <c r="E37" s="499">
        <f>SUM(E34:E36)</f>
        <v>3809674.4699999997</v>
      </c>
      <c r="G37" s="499">
        <f t="shared" ref="G37:BE37" si="12">SUM(G34:G36)</f>
        <v>0</v>
      </c>
      <c r="H37" s="499">
        <f t="shared" si="12"/>
        <v>0</v>
      </c>
      <c r="I37" s="499">
        <f t="shared" si="12"/>
        <v>0</v>
      </c>
      <c r="J37" s="499">
        <f t="shared" si="12"/>
        <v>0</v>
      </c>
      <c r="K37" s="499">
        <f t="shared" si="12"/>
        <v>0</v>
      </c>
      <c r="L37" s="499">
        <f t="shared" si="12"/>
        <v>0</v>
      </c>
      <c r="M37" s="499">
        <f t="shared" si="12"/>
        <v>0</v>
      </c>
      <c r="N37" s="499">
        <f t="shared" si="12"/>
        <v>0</v>
      </c>
      <c r="O37" s="499">
        <f t="shared" si="12"/>
        <v>0</v>
      </c>
      <c r="P37" s="499">
        <f t="shared" si="12"/>
        <v>0</v>
      </c>
      <c r="Q37" s="499">
        <f t="shared" si="12"/>
        <v>0</v>
      </c>
      <c r="R37" s="499">
        <f t="shared" si="12"/>
        <v>0</v>
      </c>
      <c r="S37" s="451">
        <f t="shared" si="5"/>
        <v>0</v>
      </c>
      <c r="T37" s="499">
        <f t="shared" si="12"/>
        <v>238166.16</v>
      </c>
      <c r="U37" s="499">
        <f t="shared" si="12"/>
        <v>0</v>
      </c>
      <c r="V37" s="499">
        <f t="shared" si="12"/>
        <v>3363789.35</v>
      </c>
      <c r="W37" s="499">
        <f t="shared" si="12"/>
        <v>457377.98000000004</v>
      </c>
      <c r="X37" s="499">
        <f t="shared" si="12"/>
        <v>207879.28999999998</v>
      </c>
      <c r="Y37" s="499">
        <f t="shared" si="12"/>
        <v>213709.31</v>
      </c>
      <c r="Z37" s="499">
        <f t="shared" si="12"/>
        <v>1161980.0699999998</v>
      </c>
      <c r="AA37" s="499">
        <f t="shared" si="12"/>
        <v>256642.53999999998</v>
      </c>
      <c r="AB37" s="499">
        <f>SUM(AB34:AB36)</f>
        <v>2391051.86</v>
      </c>
      <c r="AC37" s="499">
        <f t="shared" si="12"/>
        <v>0</v>
      </c>
      <c r="AD37" s="499">
        <f t="shared" si="12"/>
        <v>0</v>
      </c>
      <c r="AE37" s="499">
        <f t="shared" si="12"/>
        <v>0</v>
      </c>
      <c r="AF37" s="451">
        <f t="shared" si="6"/>
        <v>3809674.4699999997</v>
      </c>
      <c r="AG37" s="499">
        <f t="shared" si="12"/>
        <v>0</v>
      </c>
      <c r="AH37" s="499">
        <f t="shared" si="12"/>
        <v>0</v>
      </c>
      <c r="AI37" s="499">
        <f t="shared" si="12"/>
        <v>0</v>
      </c>
      <c r="AJ37" s="499">
        <f t="shared" si="12"/>
        <v>0</v>
      </c>
      <c r="AK37" s="499">
        <f t="shared" si="12"/>
        <v>0</v>
      </c>
      <c r="AL37" s="499">
        <f t="shared" si="12"/>
        <v>0</v>
      </c>
      <c r="AM37" s="499">
        <f t="shared" si="12"/>
        <v>0</v>
      </c>
      <c r="AN37" s="499">
        <f t="shared" si="12"/>
        <v>0</v>
      </c>
      <c r="AO37" s="499">
        <f t="shared" si="12"/>
        <v>0</v>
      </c>
      <c r="AP37" s="499">
        <f t="shared" si="12"/>
        <v>0</v>
      </c>
      <c r="AQ37" s="499">
        <f t="shared" si="12"/>
        <v>0</v>
      </c>
      <c r="AR37" s="499">
        <f t="shared" si="12"/>
        <v>0</v>
      </c>
      <c r="AS37" s="451">
        <f t="shared" si="7"/>
        <v>0</v>
      </c>
      <c r="AT37" s="499">
        <f t="shared" si="12"/>
        <v>0</v>
      </c>
      <c r="AU37" s="499">
        <f t="shared" si="12"/>
        <v>0</v>
      </c>
      <c r="AV37" s="499">
        <f t="shared" si="12"/>
        <v>0</v>
      </c>
      <c r="AW37" s="499">
        <f t="shared" si="12"/>
        <v>0</v>
      </c>
      <c r="AX37" s="499">
        <f t="shared" si="12"/>
        <v>0</v>
      </c>
      <c r="AY37" s="499">
        <f t="shared" si="12"/>
        <v>0</v>
      </c>
      <c r="AZ37" s="499">
        <f t="shared" si="12"/>
        <v>0</v>
      </c>
      <c r="BA37" s="499">
        <f t="shared" si="12"/>
        <v>0</v>
      </c>
      <c r="BB37" s="499">
        <f t="shared" si="12"/>
        <v>0</v>
      </c>
      <c r="BC37" s="499">
        <f t="shared" si="12"/>
        <v>0</v>
      </c>
      <c r="BD37" s="499">
        <f t="shared" si="12"/>
        <v>0</v>
      </c>
      <c r="BE37" s="499">
        <f t="shared" si="12"/>
        <v>0</v>
      </c>
      <c r="BF37" s="451">
        <f t="shared" si="8"/>
        <v>0</v>
      </c>
    </row>
    <row r="38" spans="1:58">
      <c r="A38" s="495"/>
      <c r="B38" s="490" t="s">
        <v>921</v>
      </c>
      <c r="C38" s="490"/>
      <c r="D38" s="13"/>
      <c r="E38" s="501">
        <f>+E32-E37</f>
        <v>-3809674.4699999997</v>
      </c>
      <c r="G38" s="53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51">
        <f t="shared" si="5"/>
        <v>0</v>
      </c>
      <c r="T38" s="538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451">
        <f t="shared" si="6"/>
        <v>0</v>
      </c>
      <c r="AG38" s="538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451">
        <f t="shared" si="7"/>
        <v>0</v>
      </c>
      <c r="AT38" s="538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451">
        <f t="shared" si="8"/>
        <v>0</v>
      </c>
    </row>
    <row r="39" spans="1:58">
      <c r="A39" s="495" t="s">
        <v>326</v>
      </c>
      <c r="B39" s="13"/>
      <c r="C39" s="13"/>
      <c r="D39" s="13"/>
      <c r="E39" s="498"/>
      <c r="G39" s="53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51">
        <f t="shared" si="5"/>
        <v>0</v>
      </c>
      <c r="T39" s="538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451">
        <f t="shared" si="6"/>
        <v>0</v>
      </c>
      <c r="AG39" s="538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451">
        <f t="shared" si="7"/>
        <v>0</v>
      </c>
      <c r="AT39" s="538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451">
        <f t="shared" si="8"/>
        <v>0</v>
      </c>
    </row>
    <row r="40" spans="1:58">
      <c r="A40" s="459"/>
      <c r="B40" s="490" t="s">
        <v>121</v>
      </c>
      <c r="C40" s="490"/>
      <c r="D40" s="491"/>
      <c r="E40" s="498"/>
      <c r="G40" s="53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51">
        <f t="shared" si="5"/>
        <v>0</v>
      </c>
      <c r="T40" s="53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451">
        <f t="shared" si="6"/>
        <v>0</v>
      </c>
      <c r="AG40" s="538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51">
        <f t="shared" si="7"/>
        <v>0</v>
      </c>
      <c r="AT40" s="538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451">
        <f t="shared" si="8"/>
        <v>0</v>
      </c>
    </row>
    <row r="41" spans="1:58">
      <c r="A41" s="504"/>
      <c r="B41" s="490"/>
      <c r="C41" s="491" t="s">
        <v>922</v>
      </c>
      <c r="D41" s="491"/>
      <c r="E41" s="498">
        <f>+S41+AF41+AS41+BF41</f>
        <v>0</v>
      </c>
      <c r="G41" s="53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451">
        <f t="shared" si="5"/>
        <v>0</v>
      </c>
      <c r="T41" s="538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451">
        <f t="shared" si="6"/>
        <v>0</v>
      </c>
      <c r="AG41" s="538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451">
        <f t="shared" si="7"/>
        <v>0</v>
      </c>
      <c r="AT41" s="538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451">
        <f t="shared" si="8"/>
        <v>0</v>
      </c>
    </row>
    <row r="42" spans="1:58">
      <c r="A42" s="504"/>
      <c r="B42" s="490"/>
      <c r="C42" s="491" t="s">
        <v>923</v>
      </c>
      <c r="D42" s="491"/>
      <c r="E42" s="498">
        <f>+S42+AF42+AS42+BF42</f>
        <v>0</v>
      </c>
      <c r="G42" s="53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51">
        <f t="shared" si="5"/>
        <v>0</v>
      </c>
      <c r="T42" s="538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451">
        <f t="shared" si="6"/>
        <v>0</v>
      </c>
      <c r="AG42" s="538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451">
        <f t="shared" si="7"/>
        <v>0</v>
      </c>
      <c r="AT42" s="538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451">
        <f t="shared" si="8"/>
        <v>0</v>
      </c>
    </row>
    <row r="43" spans="1:58">
      <c r="A43" s="504"/>
      <c r="B43" s="13"/>
      <c r="C43" s="491" t="s">
        <v>123</v>
      </c>
      <c r="D43" s="13"/>
      <c r="E43" s="499">
        <f>SUM(E41:E42)</f>
        <v>0</v>
      </c>
      <c r="G43" s="499">
        <f t="shared" ref="G43:BE43" si="13">SUM(G41:G42)</f>
        <v>0</v>
      </c>
      <c r="H43" s="499">
        <f t="shared" si="13"/>
        <v>0</v>
      </c>
      <c r="I43" s="499">
        <f t="shared" si="13"/>
        <v>0</v>
      </c>
      <c r="J43" s="499">
        <f t="shared" si="13"/>
        <v>0</v>
      </c>
      <c r="K43" s="499">
        <f t="shared" si="13"/>
        <v>0</v>
      </c>
      <c r="L43" s="499">
        <f t="shared" si="13"/>
        <v>0</v>
      </c>
      <c r="M43" s="499">
        <f t="shared" si="13"/>
        <v>0</v>
      </c>
      <c r="N43" s="499">
        <f t="shared" si="13"/>
        <v>0</v>
      </c>
      <c r="O43" s="499">
        <f t="shared" si="13"/>
        <v>0</v>
      </c>
      <c r="P43" s="499">
        <f t="shared" si="13"/>
        <v>0</v>
      </c>
      <c r="Q43" s="499">
        <f t="shared" si="13"/>
        <v>0</v>
      </c>
      <c r="R43" s="499">
        <f t="shared" si="13"/>
        <v>0</v>
      </c>
      <c r="S43" s="451">
        <f t="shared" si="5"/>
        <v>0</v>
      </c>
      <c r="T43" s="499">
        <f t="shared" si="13"/>
        <v>0</v>
      </c>
      <c r="U43" s="499">
        <f t="shared" si="13"/>
        <v>0</v>
      </c>
      <c r="V43" s="499">
        <f t="shared" si="13"/>
        <v>0</v>
      </c>
      <c r="W43" s="499">
        <f t="shared" si="13"/>
        <v>0</v>
      </c>
      <c r="X43" s="499">
        <f t="shared" si="13"/>
        <v>0</v>
      </c>
      <c r="Y43" s="499">
        <f t="shared" si="13"/>
        <v>0</v>
      </c>
      <c r="Z43" s="499">
        <f t="shared" si="13"/>
        <v>0</v>
      </c>
      <c r="AA43" s="499">
        <f t="shared" si="13"/>
        <v>0</v>
      </c>
      <c r="AB43" s="499">
        <f t="shared" si="13"/>
        <v>0</v>
      </c>
      <c r="AC43" s="499">
        <f t="shared" si="13"/>
        <v>0</v>
      </c>
      <c r="AD43" s="499">
        <f t="shared" si="13"/>
        <v>0</v>
      </c>
      <c r="AE43" s="499">
        <f t="shared" si="13"/>
        <v>0</v>
      </c>
      <c r="AF43" s="451">
        <f t="shared" si="6"/>
        <v>0</v>
      </c>
      <c r="AG43" s="499">
        <f t="shared" si="13"/>
        <v>0</v>
      </c>
      <c r="AH43" s="499">
        <f t="shared" si="13"/>
        <v>0</v>
      </c>
      <c r="AI43" s="499">
        <f t="shared" si="13"/>
        <v>0</v>
      </c>
      <c r="AJ43" s="499">
        <f t="shared" si="13"/>
        <v>0</v>
      </c>
      <c r="AK43" s="499">
        <f t="shared" si="13"/>
        <v>0</v>
      </c>
      <c r="AL43" s="499">
        <f t="shared" si="13"/>
        <v>0</v>
      </c>
      <c r="AM43" s="499">
        <f t="shared" si="13"/>
        <v>0</v>
      </c>
      <c r="AN43" s="499">
        <f t="shared" si="13"/>
        <v>0</v>
      </c>
      <c r="AO43" s="499">
        <f t="shared" si="13"/>
        <v>0</v>
      </c>
      <c r="AP43" s="499">
        <f t="shared" si="13"/>
        <v>0</v>
      </c>
      <c r="AQ43" s="499">
        <f t="shared" si="13"/>
        <v>0</v>
      </c>
      <c r="AR43" s="499">
        <f t="shared" si="13"/>
        <v>0</v>
      </c>
      <c r="AS43" s="451">
        <f t="shared" si="7"/>
        <v>0</v>
      </c>
      <c r="AT43" s="499">
        <f t="shared" si="13"/>
        <v>0</v>
      </c>
      <c r="AU43" s="499">
        <f t="shared" si="13"/>
        <v>0</v>
      </c>
      <c r="AV43" s="499">
        <f t="shared" si="13"/>
        <v>0</v>
      </c>
      <c r="AW43" s="499">
        <f t="shared" si="13"/>
        <v>0</v>
      </c>
      <c r="AX43" s="499">
        <f t="shared" si="13"/>
        <v>0</v>
      </c>
      <c r="AY43" s="499">
        <f t="shared" si="13"/>
        <v>0</v>
      </c>
      <c r="AZ43" s="499">
        <f t="shared" si="13"/>
        <v>0</v>
      </c>
      <c r="BA43" s="499">
        <f t="shared" si="13"/>
        <v>0</v>
      </c>
      <c r="BB43" s="499">
        <f t="shared" si="13"/>
        <v>0</v>
      </c>
      <c r="BC43" s="499">
        <f t="shared" si="13"/>
        <v>0</v>
      </c>
      <c r="BD43" s="499">
        <f t="shared" si="13"/>
        <v>0</v>
      </c>
      <c r="BE43" s="499">
        <f t="shared" si="13"/>
        <v>0</v>
      </c>
      <c r="BF43" s="451">
        <f t="shared" si="8"/>
        <v>0</v>
      </c>
    </row>
    <row r="44" spans="1:58">
      <c r="A44" s="504"/>
      <c r="B44" s="381" t="s">
        <v>323</v>
      </c>
      <c r="C44" s="381"/>
      <c r="D44" s="13"/>
      <c r="E44" s="498"/>
      <c r="G44" s="53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451">
        <f t="shared" si="5"/>
        <v>0</v>
      </c>
      <c r="T44" s="538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451">
        <f t="shared" si="6"/>
        <v>0</v>
      </c>
      <c r="AG44" s="538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451">
        <f t="shared" si="7"/>
        <v>0</v>
      </c>
      <c r="AT44" s="538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451">
        <f t="shared" si="8"/>
        <v>0</v>
      </c>
    </row>
    <row r="45" spans="1:58">
      <c r="A45" s="504"/>
      <c r="B45" s="13"/>
      <c r="C45" s="13" t="s">
        <v>401</v>
      </c>
      <c r="D45" s="13"/>
      <c r="E45" s="498">
        <f>+S45+AF45+AS45+BF45</f>
        <v>0</v>
      </c>
      <c r="G45" s="53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51">
        <f t="shared" si="5"/>
        <v>0</v>
      </c>
      <c r="T45" s="538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451">
        <f t="shared" si="6"/>
        <v>0</v>
      </c>
      <c r="AG45" s="538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51">
        <f t="shared" si="7"/>
        <v>0</v>
      </c>
      <c r="AT45" s="538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451">
        <f t="shared" si="8"/>
        <v>0</v>
      </c>
    </row>
    <row r="46" spans="1:58">
      <c r="A46" s="459"/>
      <c r="B46" s="13"/>
      <c r="C46" s="350" t="s">
        <v>945</v>
      </c>
      <c r="D46" s="13"/>
      <c r="E46" s="503">
        <f>+S46+AF46+AS46+BF46</f>
        <v>0</v>
      </c>
      <c r="G46" s="538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51">
        <f t="shared" si="5"/>
        <v>0</v>
      </c>
      <c r="T46" s="538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451">
        <f t="shared" si="6"/>
        <v>0</v>
      </c>
      <c r="AG46" s="538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451">
        <f t="shared" si="7"/>
        <v>0</v>
      </c>
      <c r="AT46" s="538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451">
        <f t="shared" si="8"/>
        <v>0</v>
      </c>
    </row>
    <row r="47" spans="1:58">
      <c r="A47" s="459"/>
      <c r="B47" s="13"/>
      <c r="C47" s="491" t="s">
        <v>324</v>
      </c>
      <c r="D47" s="13"/>
      <c r="E47" s="499">
        <f>SUM(E45:E46)</f>
        <v>0</v>
      </c>
      <c r="G47" s="499">
        <f t="shared" ref="G47:BE47" si="14">SUM(G45:G46)</f>
        <v>0</v>
      </c>
      <c r="H47" s="499">
        <f t="shared" si="14"/>
        <v>0</v>
      </c>
      <c r="I47" s="499">
        <f t="shared" si="14"/>
        <v>0</v>
      </c>
      <c r="J47" s="499">
        <f t="shared" si="14"/>
        <v>0</v>
      </c>
      <c r="K47" s="499">
        <f t="shared" si="14"/>
        <v>0</v>
      </c>
      <c r="L47" s="499">
        <f t="shared" si="14"/>
        <v>0</v>
      </c>
      <c r="M47" s="499">
        <f t="shared" si="14"/>
        <v>0</v>
      </c>
      <c r="N47" s="499">
        <f t="shared" si="14"/>
        <v>0</v>
      </c>
      <c r="O47" s="499">
        <f t="shared" si="14"/>
        <v>0</v>
      </c>
      <c r="P47" s="499">
        <f t="shared" si="14"/>
        <v>0</v>
      </c>
      <c r="Q47" s="499">
        <f t="shared" si="14"/>
        <v>0</v>
      </c>
      <c r="R47" s="499">
        <f t="shared" si="14"/>
        <v>0</v>
      </c>
      <c r="S47" s="451">
        <f t="shared" si="5"/>
        <v>0</v>
      </c>
      <c r="T47" s="499">
        <f t="shared" si="14"/>
        <v>0</v>
      </c>
      <c r="U47" s="499">
        <f t="shared" si="14"/>
        <v>0</v>
      </c>
      <c r="V47" s="499">
        <f t="shared" si="14"/>
        <v>0</v>
      </c>
      <c r="W47" s="499">
        <f t="shared" si="14"/>
        <v>0</v>
      </c>
      <c r="X47" s="499">
        <f t="shared" si="14"/>
        <v>0</v>
      </c>
      <c r="Y47" s="499">
        <f t="shared" si="14"/>
        <v>0</v>
      </c>
      <c r="Z47" s="499">
        <f t="shared" si="14"/>
        <v>0</v>
      </c>
      <c r="AA47" s="499">
        <f t="shared" si="14"/>
        <v>0</v>
      </c>
      <c r="AB47" s="499">
        <f t="shared" si="14"/>
        <v>0</v>
      </c>
      <c r="AC47" s="499">
        <f t="shared" si="14"/>
        <v>0</v>
      </c>
      <c r="AD47" s="499">
        <f t="shared" si="14"/>
        <v>0</v>
      </c>
      <c r="AE47" s="499">
        <f t="shared" si="14"/>
        <v>0</v>
      </c>
      <c r="AF47" s="451">
        <f t="shared" si="6"/>
        <v>0</v>
      </c>
      <c r="AG47" s="499">
        <f t="shared" si="14"/>
        <v>0</v>
      </c>
      <c r="AH47" s="499">
        <f t="shared" si="14"/>
        <v>0</v>
      </c>
      <c r="AI47" s="499">
        <f t="shared" si="14"/>
        <v>0</v>
      </c>
      <c r="AJ47" s="499">
        <f t="shared" si="14"/>
        <v>0</v>
      </c>
      <c r="AK47" s="499">
        <f t="shared" si="14"/>
        <v>0</v>
      </c>
      <c r="AL47" s="499">
        <f t="shared" si="14"/>
        <v>0</v>
      </c>
      <c r="AM47" s="499">
        <f t="shared" si="14"/>
        <v>0</v>
      </c>
      <c r="AN47" s="499">
        <f t="shared" si="14"/>
        <v>0</v>
      </c>
      <c r="AO47" s="499">
        <f t="shared" si="14"/>
        <v>0</v>
      </c>
      <c r="AP47" s="499">
        <f t="shared" si="14"/>
        <v>0</v>
      </c>
      <c r="AQ47" s="499">
        <f t="shared" si="14"/>
        <v>0</v>
      </c>
      <c r="AR47" s="499">
        <f t="shared" si="14"/>
        <v>0</v>
      </c>
      <c r="AS47" s="451">
        <f t="shared" si="7"/>
        <v>0</v>
      </c>
      <c r="AT47" s="499">
        <f t="shared" si="14"/>
        <v>0</v>
      </c>
      <c r="AU47" s="499">
        <f t="shared" si="14"/>
        <v>0</v>
      </c>
      <c r="AV47" s="499">
        <f t="shared" si="14"/>
        <v>0</v>
      </c>
      <c r="AW47" s="499">
        <f t="shared" si="14"/>
        <v>0</v>
      </c>
      <c r="AX47" s="499">
        <f t="shared" si="14"/>
        <v>0</v>
      </c>
      <c r="AY47" s="499">
        <f t="shared" si="14"/>
        <v>0</v>
      </c>
      <c r="AZ47" s="499">
        <f t="shared" si="14"/>
        <v>0</v>
      </c>
      <c r="BA47" s="499">
        <f t="shared" si="14"/>
        <v>0</v>
      </c>
      <c r="BB47" s="499">
        <f t="shared" si="14"/>
        <v>0</v>
      </c>
      <c r="BC47" s="499">
        <f t="shared" si="14"/>
        <v>0</v>
      </c>
      <c r="BD47" s="499">
        <f t="shared" si="14"/>
        <v>0</v>
      </c>
      <c r="BE47" s="499">
        <f t="shared" si="14"/>
        <v>0</v>
      </c>
      <c r="BF47" s="451">
        <f t="shared" si="8"/>
        <v>0</v>
      </c>
    </row>
    <row r="48" spans="1:58">
      <c r="A48" s="459"/>
      <c r="B48" s="142" t="s">
        <v>921</v>
      </c>
      <c r="C48" s="490"/>
      <c r="D48" s="13"/>
      <c r="E48" s="499">
        <f>+E43-E47</f>
        <v>0</v>
      </c>
      <c r="G48" s="53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451">
        <f t="shared" si="5"/>
        <v>0</v>
      </c>
      <c r="T48" s="538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451">
        <f t="shared" si="6"/>
        <v>0</v>
      </c>
      <c r="AG48" s="538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451">
        <f t="shared" si="7"/>
        <v>0</v>
      </c>
      <c r="AT48" s="538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451">
        <f t="shared" si="8"/>
        <v>0</v>
      </c>
    </row>
    <row r="49" spans="1:58">
      <c r="A49" s="459"/>
      <c r="B49" s="13"/>
      <c r="C49" s="13"/>
      <c r="D49" s="13"/>
      <c r="E49" s="498"/>
      <c r="G49" s="53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451">
        <f t="shared" si="5"/>
        <v>0</v>
      </c>
      <c r="T49" s="538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451">
        <f t="shared" si="6"/>
        <v>0</v>
      </c>
      <c r="AG49" s="538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451">
        <f t="shared" si="7"/>
        <v>0</v>
      </c>
      <c r="AT49" s="538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451">
        <f t="shared" si="8"/>
        <v>0</v>
      </c>
    </row>
    <row r="50" spans="1:58">
      <c r="A50" s="495" t="s">
        <v>924</v>
      </c>
      <c r="B50" s="490"/>
      <c r="C50" s="490"/>
      <c r="D50" s="13"/>
      <c r="E50" s="502">
        <f>+E48+E38+E26</f>
        <v>-8132698.3699999992</v>
      </c>
      <c r="F50" s="19"/>
      <c r="G50" s="539">
        <f t="shared" ref="G50:BE50" si="15">+G18+G32+G43-G25-G37-G47</f>
        <v>8932552.9199999999</v>
      </c>
      <c r="H50" s="539">
        <f t="shared" si="15"/>
        <v>6788494.2699999996</v>
      </c>
      <c r="I50" s="539">
        <f t="shared" si="15"/>
        <v>23574024.469999999</v>
      </c>
      <c r="J50" s="539">
        <f t="shared" si="15"/>
        <v>12439746.329999998</v>
      </c>
      <c r="K50" s="539">
        <f t="shared" si="15"/>
        <v>4021031.6</v>
      </c>
      <c r="L50" s="539">
        <f t="shared" si="15"/>
        <v>4226484.1100000003</v>
      </c>
      <c r="M50" s="539">
        <f t="shared" si="15"/>
        <v>2201447.8499999996</v>
      </c>
      <c r="N50" s="539">
        <f t="shared" si="15"/>
        <v>1568746.23</v>
      </c>
      <c r="O50" s="539">
        <f t="shared" si="15"/>
        <v>3367313.6599999997</v>
      </c>
      <c r="P50" s="539">
        <f t="shared" si="15"/>
        <v>0</v>
      </c>
      <c r="Q50" s="539">
        <f t="shared" si="15"/>
        <v>0</v>
      </c>
      <c r="R50" s="539">
        <f t="shared" si="15"/>
        <v>0</v>
      </c>
      <c r="S50" s="451">
        <f t="shared" si="5"/>
        <v>7137507.7399999993</v>
      </c>
      <c r="T50" s="539">
        <f t="shared" si="15"/>
        <v>-2476641.0900000003</v>
      </c>
      <c r="U50" s="539">
        <f t="shared" si="15"/>
        <v>-779403.98</v>
      </c>
      <c r="V50" s="539">
        <f t="shared" si="15"/>
        <v>-9687159.1699999999</v>
      </c>
      <c r="W50" s="539">
        <f t="shared" si="15"/>
        <v>-3204992.5</v>
      </c>
      <c r="X50" s="539">
        <f t="shared" si="15"/>
        <v>-2551386.44</v>
      </c>
      <c r="Y50" s="539">
        <f t="shared" si="15"/>
        <v>-1480196.1800000002</v>
      </c>
      <c r="Z50" s="539">
        <f t="shared" si="15"/>
        <v>-3244530.0599999996</v>
      </c>
      <c r="AA50" s="539">
        <f t="shared" si="15"/>
        <v>-4037237.5300000003</v>
      </c>
      <c r="AB50" s="539">
        <f t="shared" si="15"/>
        <v>-3306679.7</v>
      </c>
      <c r="AC50" s="539">
        <f t="shared" si="15"/>
        <v>0</v>
      </c>
      <c r="AD50" s="539">
        <f t="shared" si="15"/>
        <v>0</v>
      </c>
      <c r="AE50" s="539">
        <f t="shared" si="15"/>
        <v>0</v>
      </c>
      <c r="AF50" s="451">
        <f t="shared" si="6"/>
        <v>-10588447.289999999</v>
      </c>
      <c r="AG50" s="539">
        <f t="shared" si="15"/>
        <v>-193825.31</v>
      </c>
      <c r="AH50" s="539">
        <f t="shared" si="15"/>
        <v>-2263115.38</v>
      </c>
      <c r="AI50" s="539">
        <f t="shared" si="15"/>
        <v>-4276794.3000000007</v>
      </c>
      <c r="AJ50" s="539">
        <f t="shared" si="15"/>
        <v>-3083302.98</v>
      </c>
      <c r="AK50" s="539">
        <f t="shared" si="15"/>
        <v>-2012478.3400000003</v>
      </c>
      <c r="AL50" s="539">
        <f t="shared" si="15"/>
        <v>-3446853.1500000004</v>
      </c>
      <c r="AM50" s="539">
        <f t="shared" si="15"/>
        <v>-2100141.3800000004</v>
      </c>
      <c r="AN50" s="539">
        <f t="shared" si="15"/>
        <v>-506344.64999999991</v>
      </c>
      <c r="AO50" s="539">
        <f t="shared" si="15"/>
        <v>-2075272.79</v>
      </c>
      <c r="AP50" s="539">
        <f t="shared" si="15"/>
        <v>0</v>
      </c>
      <c r="AQ50" s="539">
        <f t="shared" si="15"/>
        <v>0</v>
      </c>
      <c r="AR50" s="539">
        <f t="shared" si="15"/>
        <v>0</v>
      </c>
      <c r="AS50" s="451">
        <f t="shared" si="7"/>
        <v>-4681758.82</v>
      </c>
      <c r="AT50" s="539">
        <f t="shared" si="15"/>
        <v>0</v>
      </c>
      <c r="AU50" s="539">
        <f t="shared" si="15"/>
        <v>0</v>
      </c>
      <c r="AV50" s="539">
        <f t="shared" si="15"/>
        <v>-299720</v>
      </c>
      <c r="AW50" s="539">
        <f t="shared" si="15"/>
        <v>0</v>
      </c>
      <c r="AX50" s="539">
        <f t="shared" si="15"/>
        <v>0</v>
      </c>
      <c r="AY50" s="539">
        <f t="shared" si="15"/>
        <v>0</v>
      </c>
      <c r="AZ50" s="539">
        <f t="shared" si="15"/>
        <v>0</v>
      </c>
      <c r="BA50" s="539">
        <f t="shared" si="15"/>
        <v>0</v>
      </c>
      <c r="BB50" s="539">
        <f t="shared" si="15"/>
        <v>0</v>
      </c>
      <c r="BC50" s="539">
        <f t="shared" si="15"/>
        <v>0</v>
      </c>
      <c r="BD50" s="539">
        <f t="shared" si="15"/>
        <v>0</v>
      </c>
      <c r="BE50" s="539">
        <f t="shared" si="15"/>
        <v>0</v>
      </c>
      <c r="BF50" s="451">
        <f t="shared" si="8"/>
        <v>0</v>
      </c>
    </row>
    <row r="51" spans="1:58">
      <c r="A51" s="495" t="s">
        <v>1128</v>
      </c>
      <c r="B51" s="490"/>
      <c r="C51" s="490"/>
      <c r="D51" s="13"/>
      <c r="E51" s="503">
        <v>146661331.48000005</v>
      </c>
      <c r="G51" s="642">
        <f>+G50-[2]CRJ!$J$840</f>
        <v>0</v>
      </c>
      <c r="H51" s="13"/>
      <c r="I51" s="13"/>
      <c r="J51" s="13"/>
      <c r="K51" s="13"/>
      <c r="L51" s="13"/>
      <c r="M51" s="13"/>
      <c r="N51" s="16"/>
      <c r="O51" s="13"/>
      <c r="P51" s="13"/>
      <c r="Q51" s="13"/>
      <c r="R51" s="13"/>
      <c r="S51" s="451">
        <f t="shared" si="5"/>
        <v>0</v>
      </c>
      <c r="T51" s="459"/>
      <c r="U51" s="13"/>
      <c r="V51" s="13"/>
      <c r="W51" s="13"/>
      <c r="X51" s="13"/>
      <c r="Y51" s="13"/>
      <c r="Z51" s="13"/>
      <c r="AA51" s="16"/>
      <c r="AB51" s="13"/>
      <c r="AC51" s="13"/>
      <c r="AD51" s="13"/>
      <c r="AE51" s="13"/>
      <c r="AF51" s="451">
        <f t="shared" si="6"/>
        <v>0</v>
      </c>
      <c r="AG51" s="459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451">
        <f t="shared" si="7"/>
        <v>0</v>
      </c>
      <c r="AT51" s="459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451">
        <f t="shared" si="8"/>
        <v>0</v>
      </c>
    </row>
    <row r="52" spans="1:58" ht="13.5" thickBot="1">
      <c r="A52" s="496" t="s">
        <v>1129</v>
      </c>
      <c r="B52" s="492"/>
      <c r="C52" s="492"/>
      <c r="D52" s="14"/>
      <c r="E52" s="506">
        <f>+E51+E50</f>
        <v>138528633.11000004</v>
      </c>
      <c r="F52" s="19">
        <f>+E52-BS!F25</f>
        <v>0</v>
      </c>
      <c r="G52" s="540"/>
      <c r="H52" s="14"/>
      <c r="I52" s="14"/>
      <c r="J52" s="14"/>
      <c r="K52" s="17"/>
      <c r="L52" s="10"/>
      <c r="M52" s="14"/>
      <c r="N52" s="17"/>
      <c r="O52" s="14"/>
      <c r="P52" s="14"/>
      <c r="Q52" s="14"/>
      <c r="R52" s="14"/>
      <c r="S52" s="451">
        <f t="shared" si="5"/>
        <v>0</v>
      </c>
      <c r="T52" s="551"/>
      <c r="U52" s="14"/>
      <c r="V52" s="17"/>
      <c r="W52" s="14"/>
      <c r="X52" s="17"/>
      <c r="Y52" s="10"/>
      <c r="Z52" s="14"/>
      <c r="AA52" s="17"/>
      <c r="AB52" s="14"/>
      <c r="AC52" s="14"/>
      <c r="AD52" s="14"/>
      <c r="AE52" s="14"/>
      <c r="AF52" s="451">
        <f t="shared" si="6"/>
        <v>0</v>
      </c>
      <c r="AG52" s="551"/>
      <c r="AH52" s="17"/>
      <c r="AI52" s="17"/>
      <c r="AJ52" s="14"/>
      <c r="AK52" s="17"/>
      <c r="AL52" s="17"/>
      <c r="AM52" s="17"/>
      <c r="AN52" s="14"/>
      <c r="AO52" s="14"/>
      <c r="AP52" s="14"/>
      <c r="AQ52" s="14"/>
      <c r="AR52" s="14"/>
      <c r="AS52" s="451">
        <f t="shared" si="7"/>
        <v>0</v>
      </c>
      <c r="AT52" s="540"/>
      <c r="AU52" s="14"/>
      <c r="AV52" s="14"/>
      <c r="AW52" s="14"/>
      <c r="AX52" s="14"/>
      <c r="AY52" s="541"/>
      <c r="AZ52" s="14"/>
      <c r="BA52" s="14"/>
      <c r="BB52" s="14"/>
      <c r="BC52" s="14"/>
      <c r="BD52" s="14"/>
      <c r="BE52" s="14"/>
      <c r="BF52" s="451">
        <f t="shared" si="8"/>
        <v>0</v>
      </c>
    </row>
    <row r="53" spans="1:58" ht="13.5" thickTop="1">
      <c r="F53" s="19"/>
      <c r="H53" s="19"/>
      <c r="L53" s="19"/>
      <c r="T53" s="19"/>
      <c r="W53" s="19"/>
      <c r="X53" s="19"/>
      <c r="Y53" s="19"/>
      <c r="AL53" s="19"/>
      <c r="AY53" s="19"/>
    </row>
    <row r="54" spans="1:58">
      <c r="F54" s="542"/>
    </row>
    <row r="55" spans="1:58">
      <c r="F55" s="19"/>
      <c r="U55" s="19"/>
    </row>
    <row r="56" spans="1:58">
      <c r="F56" s="19"/>
    </row>
    <row r="59" spans="1:58">
      <c r="H59" s="19"/>
    </row>
  </sheetData>
  <mergeCells count="9">
    <mergeCell ref="T7:AF7"/>
    <mergeCell ref="AG7:AS7"/>
    <mergeCell ref="AT7:BF7"/>
    <mergeCell ref="D2:E2"/>
    <mergeCell ref="D3:E3"/>
    <mergeCell ref="D4:E4"/>
    <mergeCell ref="D5:E5"/>
    <mergeCell ref="A6:E6"/>
    <mergeCell ref="G7:S7"/>
  </mergeCells>
  <pageMargins left="1.61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9"/>
  <sheetViews>
    <sheetView tabSelected="1" workbookViewId="0">
      <pane xSplit="5" ySplit="8" topLeftCell="T9" activePane="bottomRight" state="frozen"/>
      <selection pane="topRight" activeCell="G1" sqref="G1"/>
      <selection pane="bottomLeft" activeCell="A9" sqref="A9"/>
      <selection pane="bottomRight" activeCell="E52" sqref="E52"/>
    </sheetView>
  </sheetViews>
  <sheetFormatPr defaultRowHeight="12.75"/>
  <cols>
    <col min="1" max="3" width="2" customWidth="1"/>
    <col min="4" max="4" width="58" customWidth="1"/>
    <col min="5" max="5" width="16.28515625" customWidth="1"/>
    <col min="6" max="6" width="14.5703125" bestFit="1" customWidth="1"/>
    <col min="7" max="10" width="14" bestFit="1" customWidth="1"/>
    <col min="11" max="15" width="12.85546875" bestFit="1" customWidth="1"/>
    <col min="19" max="19" width="14" bestFit="1" customWidth="1"/>
    <col min="20" max="22" width="13.5703125" bestFit="1" customWidth="1"/>
    <col min="23" max="23" width="14.5703125" bestFit="1" customWidth="1"/>
    <col min="24" max="27" width="13.5703125" bestFit="1" customWidth="1"/>
    <col min="28" max="28" width="14.5703125" bestFit="1" customWidth="1"/>
    <col min="29" max="30" width="13.5703125" bestFit="1" customWidth="1"/>
    <col min="31" max="31" width="11.85546875" bestFit="1" customWidth="1"/>
    <col min="32" max="35" width="13.5703125" bestFit="1" customWidth="1"/>
    <col min="36" max="36" width="13.7109375" customWidth="1"/>
    <col min="37" max="39" width="13.5703125" bestFit="1" customWidth="1"/>
    <col min="40" max="40" width="12.85546875" bestFit="1" customWidth="1"/>
    <col min="41" max="45" width="13.5703125" bestFit="1" customWidth="1"/>
    <col min="46" max="46" width="12.85546875" bestFit="1" customWidth="1"/>
    <col min="47" max="47" width="11.28515625" bestFit="1" customWidth="1"/>
    <col min="48" max="48" width="10.28515625" bestFit="1" customWidth="1"/>
    <col min="49" max="49" width="11.28515625" bestFit="1" customWidth="1"/>
    <col min="50" max="50" width="10.85546875" bestFit="1" customWidth="1"/>
    <col min="51" max="51" width="11.28515625" bestFit="1" customWidth="1"/>
    <col min="52" max="52" width="10.85546875" bestFit="1" customWidth="1"/>
    <col min="53" max="54" width="11.28515625" bestFit="1" customWidth="1"/>
    <col min="58" max="58" width="11.28515625" bestFit="1" customWidth="1"/>
  </cols>
  <sheetData>
    <row r="1" spans="1:58">
      <c r="D1" s="190"/>
      <c r="E1" s="190"/>
      <c r="G1" s="19"/>
    </row>
    <row r="2" spans="1:58" ht="18">
      <c r="B2" s="191"/>
      <c r="C2" s="191"/>
      <c r="D2" s="694" t="s">
        <v>352</v>
      </c>
      <c r="E2" s="694"/>
      <c r="G2" s="19"/>
    </row>
    <row r="3" spans="1:58" ht="18">
      <c r="B3" s="191"/>
      <c r="C3" s="191"/>
      <c r="D3" s="694" t="s">
        <v>117</v>
      </c>
      <c r="E3" s="694"/>
      <c r="G3" s="19"/>
    </row>
    <row r="4" spans="1:58" ht="15.75">
      <c r="B4" s="191"/>
      <c r="C4" s="191"/>
      <c r="D4" s="730" t="str">
        <f>+IS!A4</f>
        <v>SPECIAL EDUCATION  FUND</v>
      </c>
      <c r="E4" s="730"/>
      <c r="G4" s="19"/>
    </row>
    <row r="5" spans="1:58" ht="15.75">
      <c r="B5" s="191"/>
      <c r="C5" s="191"/>
      <c r="D5" s="730" t="s">
        <v>1147</v>
      </c>
      <c r="E5" s="730"/>
      <c r="G5" s="19"/>
    </row>
    <row r="6" spans="1:58" hidden="1">
      <c r="A6" s="731" t="s">
        <v>909</v>
      </c>
      <c r="B6" s="731"/>
      <c r="C6" s="731"/>
      <c r="D6" s="731"/>
      <c r="E6" s="731"/>
      <c r="G6" s="19"/>
    </row>
    <row r="7" spans="1:58" ht="13.5" thickBot="1">
      <c r="A7" s="550"/>
      <c r="B7" s="550"/>
      <c r="C7" s="550"/>
      <c r="D7" s="550"/>
      <c r="E7" s="550"/>
      <c r="G7" s="727" t="s">
        <v>15</v>
      </c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9"/>
      <c r="T7" s="727" t="s">
        <v>266</v>
      </c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9"/>
      <c r="AG7" s="727" t="s">
        <v>18</v>
      </c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9"/>
      <c r="AT7" s="727" t="s">
        <v>288</v>
      </c>
      <c r="AU7" s="728"/>
      <c r="AV7" s="728"/>
      <c r="AW7" s="728"/>
      <c r="AX7" s="728"/>
      <c r="AY7" s="728"/>
      <c r="AZ7" s="728"/>
      <c r="BA7" s="728"/>
      <c r="BB7" s="728"/>
      <c r="BC7" s="728"/>
      <c r="BD7" s="728"/>
      <c r="BE7" s="728"/>
      <c r="BF7" s="729"/>
    </row>
    <row r="8" spans="1:58">
      <c r="A8" s="550"/>
      <c r="B8" s="550"/>
      <c r="C8" s="550"/>
      <c r="D8" s="550"/>
      <c r="E8" s="550"/>
      <c r="G8" s="536" t="s">
        <v>259</v>
      </c>
      <c r="H8" s="18" t="s">
        <v>260</v>
      </c>
      <c r="I8" s="18" t="s">
        <v>261</v>
      </c>
      <c r="J8" s="18" t="s">
        <v>262</v>
      </c>
      <c r="K8" s="18" t="s">
        <v>263</v>
      </c>
      <c r="L8" s="18" t="s">
        <v>264</v>
      </c>
      <c r="M8" s="18" t="s">
        <v>256</v>
      </c>
      <c r="N8" s="18" t="s">
        <v>257</v>
      </c>
      <c r="O8" s="18" t="s">
        <v>327</v>
      </c>
      <c r="P8" s="18" t="s">
        <v>250</v>
      </c>
      <c r="Q8" s="18" t="s">
        <v>251</v>
      </c>
      <c r="R8" s="18" t="s">
        <v>328</v>
      </c>
      <c r="S8" s="193" t="s">
        <v>118</v>
      </c>
      <c r="T8" s="536" t="s">
        <v>259</v>
      </c>
      <c r="U8" s="12" t="s">
        <v>260</v>
      </c>
      <c r="V8" s="18" t="s">
        <v>261</v>
      </c>
      <c r="W8" s="18" t="s">
        <v>262</v>
      </c>
      <c r="X8" s="18" t="s">
        <v>263</v>
      </c>
      <c r="Y8" s="18" t="s">
        <v>264</v>
      </c>
      <c r="Z8" s="18" t="s">
        <v>256</v>
      </c>
      <c r="AA8" s="18" t="s">
        <v>257</v>
      </c>
      <c r="AB8" s="18" t="s">
        <v>258</v>
      </c>
      <c r="AC8" s="18" t="s">
        <v>329</v>
      </c>
      <c r="AD8" s="18" t="s">
        <v>251</v>
      </c>
      <c r="AE8" s="18" t="s">
        <v>328</v>
      </c>
      <c r="AF8" s="537" t="s">
        <v>119</v>
      </c>
      <c r="AG8" s="536" t="s">
        <v>259</v>
      </c>
      <c r="AH8" s="18" t="s">
        <v>260</v>
      </c>
      <c r="AI8" s="18" t="s">
        <v>261</v>
      </c>
      <c r="AJ8" s="18" t="s">
        <v>262</v>
      </c>
      <c r="AK8" s="18" t="s">
        <v>263</v>
      </c>
      <c r="AL8" s="18" t="s">
        <v>264</v>
      </c>
      <c r="AM8" s="18" t="s">
        <v>256</v>
      </c>
      <c r="AN8" s="18" t="s">
        <v>257</v>
      </c>
      <c r="AO8" s="18" t="s">
        <v>258</v>
      </c>
      <c r="AP8" s="18" t="s">
        <v>329</v>
      </c>
      <c r="AQ8" s="18" t="s">
        <v>251</v>
      </c>
      <c r="AR8" s="18" t="s">
        <v>328</v>
      </c>
      <c r="AS8" s="537" t="s">
        <v>118</v>
      </c>
      <c r="AT8" s="536" t="s">
        <v>259</v>
      </c>
      <c r="AU8" s="18" t="s">
        <v>260</v>
      </c>
      <c r="AV8" s="18" t="s">
        <v>261</v>
      </c>
      <c r="AW8" s="18" t="s">
        <v>262</v>
      </c>
      <c r="AX8" s="18" t="s">
        <v>263</v>
      </c>
      <c r="AY8" s="18" t="s">
        <v>264</v>
      </c>
      <c r="AZ8" s="18" t="s">
        <v>256</v>
      </c>
      <c r="BA8" s="18" t="s">
        <v>257</v>
      </c>
      <c r="BB8" s="18" t="s">
        <v>258</v>
      </c>
      <c r="BC8" s="13" t="s">
        <v>250</v>
      </c>
      <c r="BD8" s="13" t="s">
        <v>299</v>
      </c>
      <c r="BE8" s="13" t="s">
        <v>252</v>
      </c>
      <c r="BF8" s="194" t="s">
        <v>119</v>
      </c>
    </row>
    <row r="9" spans="1:58">
      <c r="A9" s="494"/>
      <c r="B9" s="489"/>
      <c r="C9" s="489"/>
      <c r="D9" s="489"/>
      <c r="E9" s="497"/>
      <c r="G9" s="53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51">
        <f>+N9</f>
        <v>0</v>
      </c>
      <c r="T9" s="538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451">
        <f>+AA9</f>
        <v>0</v>
      </c>
      <c r="AG9" s="538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451">
        <f>+AN9</f>
        <v>0</v>
      </c>
      <c r="AT9" s="538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451">
        <f>+BA9</f>
        <v>0</v>
      </c>
    </row>
    <row r="10" spans="1:58">
      <c r="A10" s="495" t="s">
        <v>120</v>
      </c>
      <c r="B10" s="13"/>
      <c r="C10" s="13"/>
      <c r="D10" s="13"/>
      <c r="E10" s="498"/>
      <c r="G10" s="53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51">
        <f t="shared" ref="S10:S52" si="0">+N10</f>
        <v>0</v>
      </c>
      <c r="T10" s="538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451">
        <f t="shared" ref="AF10:AF52" si="1">+AA10</f>
        <v>0</v>
      </c>
      <c r="AG10" s="538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451">
        <f t="shared" ref="AS10:AS52" si="2">+AN10</f>
        <v>0</v>
      </c>
      <c r="AT10" s="538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451">
        <f t="shared" ref="BF10:BF52" si="3">+BA10</f>
        <v>0</v>
      </c>
    </row>
    <row r="11" spans="1:58">
      <c r="A11" s="459"/>
      <c r="B11" s="490" t="s">
        <v>121</v>
      </c>
      <c r="C11" s="490"/>
      <c r="D11" s="13"/>
      <c r="E11" s="498"/>
      <c r="G11" s="53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51">
        <f t="shared" si="0"/>
        <v>0</v>
      </c>
      <c r="T11" s="538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451">
        <f t="shared" si="1"/>
        <v>0</v>
      </c>
      <c r="AG11" s="538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451">
        <f t="shared" si="2"/>
        <v>0</v>
      </c>
      <c r="AT11" s="538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451">
        <f t="shared" si="3"/>
        <v>0</v>
      </c>
    </row>
    <row r="12" spans="1:58" ht="12.75" hidden="1" customHeight="1">
      <c r="A12" s="459"/>
      <c r="B12" s="490"/>
      <c r="C12" s="491" t="s">
        <v>396</v>
      </c>
      <c r="E12" s="498">
        <f t="shared" ref="E12:E17" si="4">+S12+AF12+AS12+BF12</f>
        <v>0</v>
      </c>
      <c r="G12" s="53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51">
        <f t="shared" si="0"/>
        <v>0</v>
      </c>
      <c r="T12" s="53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451">
        <f t="shared" si="1"/>
        <v>0</v>
      </c>
      <c r="AG12" s="538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451">
        <f t="shared" si="2"/>
        <v>0</v>
      </c>
      <c r="AT12" s="538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451">
        <f t="shared" si="3"/>
        <v>0</v>
      </c>
    </row>
    <row r="13" spans="1:58">
      <c r="A13" s="459"/>
      <c r="B13" s="490"/>
      <c r="C13" s="491" t="s">
        <v>934</v>
      </c>
      <c r="E13" s="498">
        <f t="shared" si="4"/>
        <v>3351263.65</v>
      </c>
      <c r="G13" s="538">
        <f>8932552.92-73.67-13.95-377.73</f>
        <v>8932087.5700000003</v>
      </c>
      <c r="H13" s="12">
        <f>6788494.27-60.72-116.11</f>
        <v>6788317.4399999995</v>
      </c>
      <c r="I13" s="12">
        <f>133115.43+24209565.4+905605.09+1701422.21-5797.51-3370561.77</f>
        <v>23573348.849999998</v>
      </c>
      <c r="J13" s="12">
        <f>1143110.82+12863413.42-874.97-1567070.21</f>
        <v>12438579.059999999</v>
      </c>
      <c r="K13" s="12">
        <f>4021031.6-117000</f>
        <v>3904031.6</v>
      </c>
      <c r="L13" s="12">
        <f>4226484.11-4750-1828.83-18.46</f>
        <v>4219886.82</v>
      </c>
      <c r="M13" s="12">
        <v>2201298.8299999996</v>
      </c>
      <c r="N13" s="12">
        <f>1567159.09+4746.71-319.76-3818.95</f>
        <v>1567767.09</v>
      </c>
      <c r="O13" s="12">
        <f>352246.23+289749.11+2838937.25+4456.99-5340.22-128785.71</f>
        <v>3351263.65</v>
      </c>
      <c r="P13" s="12"/>
      <c r="Q13" s="12"/>
      <c r="R13" s="12"/>
      <c r="S13" s="451">
        <f>SUM(O13:R13)</f>
        <v>3351263.65</v>
      </c>
      <c r="T13" s="538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451">
        <f>SUM(AB13:AE13)</f>
        <v>0</v>
      </c>
      <c r="AG13" s="538"/>
      <c r="AH13" s="12">
        <v>-50715</v>
      </c>
      <c r="AI13" s="12">
        <v>-23027.38</v>
      </c>
      <c r="AJ13" s="12">
        <v>-10000</v>
      </c>
      <c r="AK13" s="12"/>
      <c r="AL13" s="12">
        <f>-5978.85-504.46</f>
        <v>-6483.31</v>
      </c>
      <c r="AM13" s="8"/>
      <c r="AN13" s="12"/>
      <c r="AO13" s="12"/>
      <c r="AP13" s="12"/>
      <c r="AQ13" s="12"/>
      <c r="AR13" s="12"/>
      <c r="AS13" s="451">
        <f t="shared" si="2"/>
        <v>0</v>
      </c>
      <c r="AT13" s="538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451">
        <f t="shared" si="3"/>
        <v>0</v>
      </c>
    </row>
    <row r="14" spans="1:58" ht="12.75" hidden="1" customHeight="1">
      <c r="A14" s="459"/>
      <c r="B14" s="490"/>
      <c r="C14" s="13" t="s">
        <v>397</v>
      </c>
      <c r="E14" s="498">
        <f t="shared" si="4"/>
        <v>0</v>
      </c>
      <c r="G14" s="53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51">
        <f t="shared" ref="S14:S51" si="5">SUM(O14:R14)</f>
        <v>0</v>
      </c>
      <c r="T14" s="538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451">
        <f t="shared" ref="AF14:AF50" si="6">SUM(AB14:AE14)</f>
        <v>0</v>
      </c>
      <c r="AG14" s="538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451">
        <f t="shared" si="2"/>
        <v>0</v>
      </c>
      <c r="AT14" s="538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451">
        <f t="shared" si="3"/>
        <v>0</v>
      </c>
    </row>
    <row r="15" spans="1:58">
      <c r="A15" s="459"/>
      <c r="B15" s="490"/>
      <c r="C15" s="491" t="s">
        <v>398</v>
      </c>
      <c r="E15" s="498">
        <f t="shared" si="4"/>
        <v>105843.46</v>
      </c>
      <c r="G15" s="53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451">
        <f t="shared" si="5"/>
        <v>0</v>
      </c>
      <c r="T15" s="538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451">
        <f t="shared" si="6"/>
        <v>0</v>
      </c>
      <c r="AG15" s="538">
        <v>91603.68</v>
      </c>
      <c r="AH15" s="12">
        <v>93844.44</v>
      </c>
      <c r="AI15" s="12">
        <v>91389.489999999991</v>
      </c>
      <c r="AJ15" s="12">
        <f>59966.89+91974.68</f>
        <v>151941.57</v>
      </c>
      <c r="AK15" s="12">
        <v>120891.19</v>
      </c>
      <c r="AL15" s="12">
        <v>119351.94</v>
      </c>
      <c r="AM15" s="12">
        <v>177799.82</v>
      </c>
      <c r="AN15" s="660">
        <v>136767.28</v>
      </c>
      <c r="AO15" s="12">
        <v>105843.46</v>
      </c>
      <c r="AP15" s="12"/>
      <c r="AQ15" s="12"/>
      <c r="AR15" s="12"/>
      <c r="AS15" s="451">
        <f>SUM(AO15:AR15)</f>
        <v>105843.46</v>
      </c>
      <c r="AT15" s="538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451">
        <f t="shared" si="3"/>
        <v>0</v>
      </c>
    </row>
    <row r="16" spans="1:58" ht="12.75" hidden="1" customHeight="1">
      <c r="A16" s="459"/>
      <c r="B16" s="490"/>
      <c r="C16" s="491" t="s">
        <v>399</v>
      </c>
      <c r="E16" s="498">
        <f t="shared" si="4"/>
        <v>0</v>
      </c>
      <c r="G16" s="53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1">
        <f t="shared" si="5"/>
        <v>0</v>
      </c>
      <c r="T16" s="538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451">
        <f t="shared" si="6"/>
        <v>0</v>
      </c>
      <c r="AG16" s="538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451">
        <f t="shared" ref="AS16:AS50" si="7">SUM(AO16:AR16)</f>
        <v>0</v>
      </c>
      <c r="AT16" s="538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451">
        <f t="shared" si="3"/>
        <v>0</v>
      </c>
    </row>
    <row r="17" spans="1:58">
      <c r="A17" s="459"/>
      <c r="B17" s="490"/>
      <c r="C17" s="491" t="s">
        <v>400</v>
      </c>
      <c r="E17" s="498">
        <f t="shared" si="4"/>
        <v>16050.01</v>
      </c>
      <c r="G17" s="538">
        <f>73.67+377.73+13.95</f>
        <v>465.35</v>
      </c>
      <c r="H17" s="12">
        <f>60.72+116.11</f>
        <v>176.82999999999998</v>
      </c>
      <c r="I17" s="12">
        <f>618.04+57.58</f>
        <v>675.62</v>
      </c>
      <c r="J17" s="12">
        <f>1059.65+107.62</f>
        <v>1167.27</v>
      </c>
      <c r="K17" s="12">
        <v>117000</v>
      </c>
      <c r="L17" s="12">
        <f>4750+1828.83+18.46</f>
        <v>6597.29</v>
      </c>
      <c r="M17" s="12">
        <v>149.02000000000001</v>
      </c>
      <c r="N17" s="12">
        <f>979.04+0.1</f>
        <v>979.14</v>
      </c>
      <c r="O17" s="12">
        <f>11250.01+4800</f>
        <v>16050.01</v>
      </c>
      <c r="P17" s="12"/>
      <c r="Q17" s="12"/>
      <c r="R17" s="12"/>
      <c r="S17" s="451">
        <f t="shared" si="5"/>
        <v>16050.01</v>
      </c>
      <c r="T17" s="538"/>
      <c r="U17" s="12"/>
      <c r="V17" s="12"/>
      <c r="W17" s="12"/>
      <c r="X17" s="12"/>
      <c r="Y17" s="151">
        <v>-24579.46</v>
      </c>
      <c r="Z17" s="12"/>
      <c r="AA17" s="12"/>
      <c r="AB17" s="12"/>
      <c r="AC17" s="12"/>
      <c r="AD17" s="12"/>
      <c r="AE17" s="12"/>
      <c r="AF17" s="451">
        <f t="shared" si="6"/>
        <v>0</v>
      </c>
      <c r="AG17" s="538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451">
        <f t="shared" si="7"/>
        <v>0</v>
      </c>
      <c r="AT17" s="538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451">
        <f t="shared" si="3"/>
        <v>0</v>
      </c>
    </row>
    <row r="18" spans="1:58">
      <c r="A18" s="198"/>
      <c r="C18" s="490" t="s">
        <v>123</v>
      </c>
      <c r="E18" s="499">
        <f>SUM(E12:E17)</f>
        <v>3473157.1199999996</v>
      </c>
      <c r="G18" s="499">
        <f>SUM(G12:G17)</f>
        <v>8932552.9199999999</v>
      </c>
      <c r="H18" s="499">
        <f t="shared" ref="H18:BE18" si="8">SUM(H12:H17)</f>
        <v>6788494.2699999996</v>
      </c>
      <c r="I18" s="499">
        <f t="shared" si="8"/>
        <v>23574024.469999999</v>
      </c>
      <c r="J18" s="499">
        <f t="shared" si="8"/>
        <v>12439746.329999998</v>
      </c>
      <c r="K18" s="499">
        <f t="shared" si="8"/>
        <v>4021031.6</v>
      </c>
      <c r="L18" s="499">
        <f t="shared" si="8"/>
        <v>4226484.1100000003</v>
      </c>
      <c r="M18" s="499">
        <f t="shared" si="8"/>
        <v>2201447.8499999996</v>
      </c>
      <c r="N18" s="499">
        <f t="shared" si="8"/>
        <v>1568746.23</v>
      </c>
      <c r="O18" s="499">
        <f t="shared" si="8"/>
        <v>3367313.6599999997</v>
      </c>
      <c r="P18" s="499">
        <f t="shared" si="8"/>
        <v>0</v>
      </c>
      <c r="Q18" s="499">
        <f t="shared" si="8"/>
        <v>0</v>
      </c>
      <c r="R18" s="499">
        <f t="shared" si="8"/>
        <v>0</v>
      </c>
      <c r="S18" s="451">
        <f t="shared" si="5"/>
        <v>3367313.6599999997</v>
      </c>
      <c r="T18" s="499">
        <f t="shared" si="8"/>
        <v>0</v>
      </c>
      <c r="U18" s="499">
        <f t="shared" si="8"/>
        <v>0</v>
      </c>
      <c r="V18" s="499">
        <f t="shared" si="8"/>
        <v>0</v>
      </c>
      <c r="W18" s="499">
        <f t="shared" si="8"/>
        <v>0</v>
      </c>
      <c r="X18" s="499">
        <f t="shared" si="8"/>
        <v>0</v>
      </c>
      <c r="Y18" s="499">
        <f t="shared" si="8"/>
        <v>-24579.46</v>
      </c>
      <c r="Z18" s="499">
        <f t="shared" si="8"/>
        <v>0</v>
      </c>
      <c r="AA18" s="499">
        <f t="shared" si="8"/>
        <v>0</v>
      </c>
      <c r="AB18" s="499">
        <f t="shared" si="8"/>
        <v>0</v>
      </c>
      <c r="AC18" s="499">
        <f t="shared" si="8"/>
        <v>0</v>
      </c>
      <c r="AD18" s="499">
        <f t="shared" si="8"/>
        <v>0</v>
      </c>
      <c r="AE18" s="499">
        <f t="shared" si="8"/>
        <v>0</v>
      </c>
      <c r="AF18" s="451">
        <f t="shared" si="6"/>
        <v>0</v>
      </c>
      <c r="AG18" s="499">
        <f t="shared" si="8"/>
        <v>91603.68</v>
      </c>
      <c r="AH18" s="499">
        <f t="shared" si="8"/>
        <v>43129.440000000002</v>
      </c>
      <c r="AI18" s="499">
        <f t="shared" si="8"/>
        <v>68362.109999999986</v>
      </c>
      <c r="AJ18" s="499">
        <f t="shared" si="8"/>
        <v>141941.57</v>
      </c>
      <c r="AK18" s="499">
        <f t="shared" si="8"/>
        <v>120891.19</v>
      </c>
      <c r="AL18" s="499">
        <f t="shared" si="8"/>
        <v>112868.63</v>
      </c>
      <c r="AM18" s="499">
        <f t="shared" si="8"/>
        <v>177799.82</v>
      </c>
      <c r="AN18" s="499">
        <f t="shared" si="8"/>
        <v>136767.28</v>
      </c>
      <c r="AO18" s="499">
        <f t="shared" si="8"/>
        <v>105843.46</v>
      </c>
      <c r="AP18" s="499">
        <f t="shared" si="8"/>
        <v>0</v>
      </c>
      <c r="AQ18" s="499">
        <f t="shared" si="8"/>
        <v>0</v>
      </c>
      <c r="AR18" s="499">
        <f t="shared" si="8"/>
        <v>0</v>
      </c>
      <c r="AS18" s="451">
        <f t="shared" si="7"/>
        <v>105843.46</v>
      </c>
      <c r="AT18" s="499">
        <f t="shared" si="8"/>
        <v>0</v>
      </c>
      <c r="AU18" s="499">
        <f t="shared" si="8"/>
        <v>0</v>
      </c>
      <c r="AV18" s="499">
        <f t="shared" si="8"/>
        <v>0</v>
      </c>
      <c r="AW18" s="499">
        <f t="shared" si="8"/>
        <v>0</v>
      </c>
      <c r="AX18" s="499">
        <f t="shared" si="8"/>
        <v>0</v>
      </c>
      <c r="AY18" s="499">
        <f t="shared" si="8"/>
        <v>0</v>
      </c>
      <c r="AZ18" s="499">
        <f t="shared" si="8"/>
        <v>0</v>
      </c>
      <c r="BA18" s="499">
        <f t="shared" si="8"/>
        <v>0</v>
      </c>
      <c r="BB18" s="499">
        <f t="shared" si="8"/>
        <v>0</v>
      </c>
      <c r="BC18" s="499">
        <f t="shared" si="8"/>
        <v>0</v>
      </c>
      <c r="BD18" s="499">
        <f t="shared" si="8"/>
        <v>0</v>
      </c>
      <c r="BE18" s="499">
        <f t="shared" si="8"/>
        <v>0</v>
      </c>
      <c r="BF18" s="451">
        <f t="shared" si="3"/>
        <v>0</v>
      </c>
    </row>
    <row r="19" spans="1:58">
      <c r="A19" s="198"/>
      <c r="B19" s="381" t="s">
        <v>323</v>
      </c>
      <c r="C19" s="381"/>
      <c r="D19" s="142"/>
      <c r="E19" s="498"/>
      <c r="G19" s="53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51">
        <f t="shared" si="5"/>
        <v>0</v>
      </c>
      <c r="T19" s="53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451">
        <f t="shared" si="6"/>
        <v>0</v>
      </c>
      <c r="AG19" s="538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51">
        <f t="shared" si="7"/>
        <v>0</v>
      </c>
      <c r="AT19" s="538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451">
        <f t="shared" si="3"/>
        <v>0</v>
      </c>
    </row>
    <row r="20" spans="1:58">
      <c r="A20" s="459"/>
      <c r="B20" s="381"/>
      <c r="C20" s="491" t="s">
        <v>912</v>
      </c>
      <c r="E20" s="498"/>
      <c r="G20" s="53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51">
        <f t="shared" si="5"/>
        <v>0</v>
      </c>
      <c r="T20" s="538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451">
        <f t="shared" si="6"/>
        <v>0</v>
      </c>
      <c r="AG20" s="538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451">
        <f t="shared" si="7"/>
        <v>0</v>
      </c>
      <c r="AT20" s="538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451">
        <f t="shared" si="3"/>
        <v>0</v>
      </c>
    </row>
    <row r="21" spans="1:58">
      <c r="A21" s="459"/>
      <c r="B21" s="381"/>
      <c r="C21" s="381"/>
      <c r="D21" s="491" t="s">
        <v>910</v>
      </c>
      <c r="E21" s="498">
        <f>+S21+AF21+AS21+BF21</f>
        <v>1239598.94</v>
      </c>
      <c r="G21" s="53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51">
        <f t="shared" si="5"/>
        <v>0</v>
      </c>
      <c r="T21" s="538">
        <f>448018.32+1194337.32+410028.48+68865.54+64588.11+46637.16</f>
        <v>2232474.9300000002</v>
      </c>
      <c r="U21" s="12">
        <v>779403.98</v>
      </c>
      <c r="V21" s="12">
        <f>4754822.43+646643.15+65712.5+52552.83+7000+7000+581201.14+13700+13700+13609+13659+13659+14500+12230+27556.47+85824.3</f>
        <v>6323369.8199999994</v>
      </c>
      <c r="W21" s="12">
        <f>713115.97+127372.26+13700+67927.32+64949.71+1124678.23+65712.5+10471+11016.88+11016.88+11920.5+10271+53158.55+8486+8395+333468.75+65078.97+46875</f>
        <v>2747614.52</v>
      </c>
      <c r="X21" s="12">
        <f>684308.36+1183657.19+9790+26688.01+376743.76+62319.83</f>
        <v>2343507.15</v>
      </c>
      <c r="Y21" s="12">
        <f>450610.68+67200+78015.38+51273.77+483848.75+10402+30034.59+69522.24+1000</f>
        <v>1241907.4100000001</v>
      </c>
      <c r="Z21" s="12">
        <f>288985.96+1291986.47+478449.68+6157.56+784.83+16185.49</f>
        <v>2082549.99</v>
      </c>
      <c r="AA21" s="12">
        <f>582000+1224523.96+8550.45+23679.33+28030.37+38855.45+5831+80514.53+81054.41+4214.77+1696340.72</f>
        <v>3773594.99</v>
      </c>
      <c r="AB21" s="12">
        <f>57176.26+470169.15+51052.13+20447.48+3800+206327.15+10331+500+1000+74189.16+20635.51</f>
        <v>915627.84000000008</v>
      </c>
      <c r="AC21" s="12"/>
      <c r="AD21" s="12"/>
      <c r="AE21" s="12"/>
      <c r="AF21" s="451">
        <f t="shared" si="6"/>
        <v>915627.84000000008</v>
      </c>
      <c r="AG21" s="538">
        <v>206518.83</v>
      </c>
      <c r="AH21" s="12">
        <v>33987.57</v>
      </c>
      <c r="AI21" s="12">
        <v>227434.59</v>
      </c>
      <c r="AJ21" s="12">
        <v>692394.78</v>
      </c>
      <c r="AK21" s="12">
        <v>260855.15</v>
      </c>
      <c r="AL21" s="12">
        <v>19316.5</v>
      </c>
      <c r="AM21" s="12">
        <v>430090.73</v>
      </c>
      <c r="AN21" s="12">
        <f>120961.86+102786.44+282154.66</f>
        <v>505902.95999999996</v>
      </c>
      <c r="AO21" s="351">
        <f>102911.66+87398.76+133660.68</f>
        <v>323971.09999999998</v>
      </c>
      <c r="AP21" s="12"/>
      <c r="AQ21" s="12"/>
      <c r="AR21" s="424"/>
      <c r="AS21" s="451">
        <f t="shared" si="7"/>
        <v>323971.09999999998</v>
      </c>
      <c r="AT21" s="538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451">
        <f t="shared" si="3"/>
        <v>0</v>
      </c>
    </row>
    <row r="22" spans="1:58">
      <c r="A22" s="459"/>
      <c r="B22" s="381"/>
      <c r="C22" s="381"/>
      <c r="D22" s="491" t="s">
        <v>911</v>
      </c>
      <c r="E22" s="498">
        <f>+S22+AF22+AS22+BF22</f>
        <v>1857145.15</v>
      </c>
      <c r="G22" s="53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51">
        <f t="shared" si="5"/>
        <v>0</v>
      </c>
      <c r="T22" s="538">
        <v>6000</v>
      </c>
      <c r="U22" s="12"/>
      <c r="V22" s="12"/>
      <c r="W22" s="12"/>
      <c r="X22" s="12"/>
      <c r="Y22" s="12"/>
      <c r="Z22" s="12"/>
      <c r="AA22" s="12">
        <v>7000</v>
      </c>
      <c r="AC22" s="12"/>
      <c r="AD22" s="12"/>
      <c r="AE22" s="12"/>
      <c r="AF22" s="451">
        <f t="shared" si="6"/>
        <v>0</v>
      </c>
      <c r="AG22" s="538">
        <f>27286.16+51624</f>
        <v>78910.16</v>
      </c>
      <c r="AH22" s="12">
        <f>72000+101690.87+56799.86+28068.43+1969668.26+44029.83</f>
        <v>2272257.25</v>
      </c>
      <c r="AI22" s="12">
        <f>15156.56+27126.81+1908261.57+57639.5+61225.82+28731.43+1958732.54+44675.73</f>
        <v>4101549.9600000004</v>
      </c>
      <c r="AJ22" s="12">
        <f>33820.93+29673.05+651750.6+27126.81+1790478.38</f>
        <v>2532849.77</v>
      </c>
      <c r="AK22" s="12">
        <f>29673.05+60186.29+111348.5+1603274+26006.81+42025.73</f>
        <v>1872514.3800000001</v>
      </c>
      <c r="AL22" s="12">
        <f>1723938.59+29673.05+59715.48+22000+40025.73+26948.43+1638104</f>
        <v>3540405.2800000003</v>
      </c>
      <c r="AM22" s="8">
        <f>28731.43+57394.61+21523.85+22955.99+1717244.59</f>
        <v>1847850.4700000002</v>
      </c>
      <c r="AN22" s="12">
        <f>53840.76+32371.08+23554.48+27442.65</f>
        <v>137208.97</v>
      </c>
      <c r="AO22" s="351">
        <f>1726122+29673.49+49353.26+23925.75+28070.65</f>
        <v>1857145.15</v>
      </c>
      <c r="AP22" s="12"/>
      <c r="AQ22" s="12"/>
      <c r="AR22" s="12"/>
      <c r="AS22" s="451">
        <f t="shared" si="7"/>
        <v>1857145.15</v>
      </c>
      <c r="AT22" s="538"/>
      <c r="AU22" s="12"/>
      <c r="AV22" s="12">
        <v>299720</v>
      </c>
      <c r="AW22" s="12"/>
      <c r="AX22" s="12"/>
      <c r="AY22" s="12"/>
      <c r="AZ22" s="12"/>
      <c r="BA22" s="12"/>
      <c r="BB22" s="12"/>
      <c r="BC22" s="12"/>
      <c r="BD22" s="12"/>
      <c r="BE22" s="12"/>
      <c r="BF22" s="451">
        <f t="shared" si="3"/>
        <v>0</v>
      </c>
    </row>
    <row r="23" spans="1:58" ht="12.75" hidden="1" customHeight="1">
      <c r="A23" s="459"/>
      <c r="B23" s="381"/>
      <c r="C23" s="491" t="s">
        <v>122</v>
      </c>
      <c r="E23" s="498">
        <f>+S23+AF23+AS23+BF23</f>
        <v>0</v>
      </c>
      <c r="G23" s="5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51">
        <f t="shared" si="5"/>
        <v>0</v>
      </c>
      <c r="T23" s="53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451">
        <f t="shared" si="6"/>
        <v>0</v>
      </c>
      <c r="AG23" s="538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451">
        <f t="shared" si="7"/>
        <v>0</v>
      </c>
      <c r="AT23" s="538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451">
        <f t="shared" si="3"/>
        <v>0</v>
      </c>
    </row>
    <row r="24" spans="1:58" ht="12.75" hidden="1" customHeight="1">
      <c r="A24" s="459"/>
      <c r="B24" s="381"/>
      <c r="C24" s="491" t="s">
        <v>913</v>
      </c>
      <c r="E24" s="498">
        <f>+S24+AF24+AS24+BF24</f>
        <v>0</v>
      </c>
      <c r="G24" s="53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51">
        <f t="shared" si="5"/>
        <v>0</v>
      </c>
      <c r="T24" s="53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451">
        <f t="shared" si="6"/>
        <v>0</v>
      </c>
      <c r="AG24" s="538"/>
      <c r="AH24" s="12"/>
      <c r="AI24" s="12">
        <v>16171.86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451">
        <f t="shared" si="7"/>
        <v>0</v>
      </c>
      <c r="AT24" s="538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451">
        <f t="shared" si="3"/>
        <v>0</v>
      </c>
    </row>
    <row r="25" spans="1:58">
      <c r="A25" s="198"/>
      <c r="B25" s="13"/>
      <c r="C25" s="491" t="s">
        <v>324</v>
      </c>
      <c r="D25" s="142"/>
      <c r="E25" s="500">
        <f>SUM(E21:E24)</f>
        <v>3096744.09</v>
      </c>
      <c r="G25" s="500">
        <f t="shared" ref="G25:BE25" si="9">SUM(G21:G24)</f>
        <v>0</v>
      </c>
      <c r="H25" s="500">
        <f t="shared" si="9"/>
        <v>0</v>
      </c>
      <c r="I25" s="500">
        <f t="shared" si="9"/>
        <v>0</v>
      </c>
      <c r="J25" s="500">
        <f t="shared" si="9"/>
        <v>0</v>
      </c>
      <c r="K25" s="500">
        <f t="shared" si="9"/>
        <v>0</v>
      </c>
      <c r="L25" s="500">
        <f t="shared" si="9"/>
        <v>0</v>
      </c>
      <c r="M25" s="500">
        <f t="shared" si="9"/>
        <v>0</v>
      </c>
      <c r="N25" s="500">
        <f t="shared" si="9"/>
        <v>0</v>
      </c>
      <c r="O25" s="500">
        <f t="shared" si="9"/>
        <v>0</v>
      </c>
      <c r="P25" s="500">
        <f t="shared" si="9"/>
        <v>0</v>
      </c>
      <c r="Q25" s="500">
        <f t="shared" si="9"/>
        <v>0</v>
      </c>
      <c r="R25" s="500">
        <f t="shared" si="9"/>
        <v>0</v>
      </c>
      <c r="S25" s="451">
        <f t="shared" si="5"/>
        <v>0</v>
      </c>
      <c r="T25" s="500">
        <f t="shared" si="9"/>
        <v>2238474.9300000002</v>
      </c>
      <c r="U25" s="500">
        <f t="shared" si="9"/>
        <v>779403.98</v>
      </c>
      <c r="V25" s="500">
        <f>SUM(V21:V24)</f>
        <v>6323369.8199999994</v>
      </c>
      <c r="W25" s="500">
        <f t="shared" ref="W25:X25" si="10">SUM(W21:W24)</f>
        <v>2747614.52</v>
      </c>
      <c r="X25" s="500">
        <f t="shared" si="10"/>
        <v>2343507.15</v>
      </c>
      <c r="Y25" s="500">
        <f t="shared" si="9"/>
        <v>1241907.4100000001</v>
      </c>
      <c r="Z25" s="500">
        <f t="shared" si="9"/>
        <v>2082549.99</v>
      </c>
      <c r="AA25" s="500">
        <f t="shared" si="9"/>
        <v>3780594.99</v>
      </c>
      <c r="AB25" s="500">
        <f t="shared" si="9"/>
        <v>915627.84000000008</v>
      </c>
      <c r="AC25" s="500">
        <f t="shared" si="9"/>
        <v>0</v>
      </c>
      <c r="AD25" s="500">
        <f t="shared" si="9"/>
        <v>0</v>
      </c>
      <c r="AE25" s="500">
        <f t="shared" si="9"/>
        <v>0</v>
      </c>
      <c r="AF25" s="451">
        <f t="shared" si="6"/>
        <v>915627.84000000008</v>
      </c>
      <c r="AG25" s="500">
        <f t="shared" si="9"/>
        <v>285428.99</v>
      </c>
      <c r="AH25" s="500">
        <f t="shared" si="9"/>
        <v>2306244.8199999998</v>
      </c>
      <c r="AI25" s="500">
        <f t="shared" si="9"/>
        <v>4345156.4100000011</v>
      </c>
      <c r="AJ25" s="500">
        <f t="shared" si="9"/>
        <v>3225244.55</v>
      </c>
      <c r="AK25" s="500">
        <f t="shared" si="9"/>
        <v>2133369.5300000003</v>
      </c>
      <c r="AL25" s="500">
        <f t="shared" si="9"/>
        <v>3559721.7800000003</v>
      </c>
      <c r="AM25" s="500">
        <f t="shared" si="9"/>
        <v>2277941.2000000002</v>
      </c>
      <c r="AN25" s="500">
        <f t="shared" si="9"/>
        <v>643111.92999999993</v>
      </c>
      <c r="AO25" s="500">
        <f>SUM(AO21:AO24)</f>
        <v>2181116.25</v>
      </c>
      <c r="AP25" s="500">
        <f t="shared" si="9"/>
        <v>0</v>
      </c>
      <c r="AQ25" s="500">
        <f t="shared" si="9"/>
        <v>0</v>
      </c>
      <c r="AR25" s="500">
        <f t="shared" si="9"/>
        <v>0</v>
      </c>
      <c r="AS25" s="451">
        <f t="shared" si="7"/>
        <v>2181116.25</v>
      </c>
      <c r="AT25" s="500">
        <f t="shared" si="9"/>
        <v>0</v>
      </c>
      <c r="AU25" s="500">
        <f t="shared" si="9"/>
        <v>0</v>
      </c>
      <c r="AV25" s="500">
        <f t="shared" si="9"/>
        <v>299720</v>
      </c>
      <c r="AW25" s="500">
        <f t="shared" si="9"/>
        <v>0</v>
      </c>
      <c r="AX25" s="500">
        <f t="shared" si="9"/>
        <v>0</v>
      </c>
      <c r="AY25" s="500">
        <f t="shared" si="9"/>
        <v>0</v>
      </c>
      <c r="AZ25" s="500">
        <f t="shared" si="9"/>
        <v>0</v>
      </c>
      <c r="BA25" s="500">
        <f t="shared" si="9"/>
        <v>0</v>
      </c>
      <c r="BB25" s="500">
        <f t="shared" si="9"/>
        <v>0</v>
      </c>
      <c r="BC25" s="500">
        <f t="shared" si="9"/>
        <v>0</v>
      </c>
      <c r="BD25" s="500">
        <f t="shared" si="9"/>
        <v>0</v>
      </c>
      <c r="BE25" s="500">
        <f t="shared" si="9"/>
        <v>0</v>
      </c>
      <c r="BF25" s="451">
        <f t="shared" si="3"/>
        <v>0</v>
      </c>
    </row>
    <row r="26" spans="1:58">
      <c r="A26" s="198"/>
      <c r="B26" s="490" t="s">
        <v>914</v>
      </c>
      <c r="C26" s="490"/>
      <c r="D26" s="142"/>
      <c r="E26" s="501">
        <f>+E18-E25</f>
        <v>376413.0299999998</v>
      </c>
      <c r="G26" s="53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51">
        <f t="shared" si="5"/>
        <v>0</v>
      </c>
      <c r="T26" s="538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451">
        <f t="shared" si="6"/>
        <v>0</v>
      </c>
      <c r="AG26" s="538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451">
        <f t="shared" si="7"/>
        <v>0</v>
      </c>
      <c r="AT26" s="538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451">
        <f t="shared" si="3"/>
        <v>0</v>
      </c>
    </row>
    <row r="27" spans="1:58">
      <c r="A27" s="495" t="s">
        <v>325</v>
      </c>
      <c r="B27" s="13"/>
      <c r="C27" s="13"/>
      <c r="D27" s="13"/>
      <c r="E27" s="498"/>
      <c r="G27" s="53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51">
        <f t="shared" si="5"/>
        <v>0</v>
      </c>
      <c r="T27" s="538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451">
        <f t="shared" si="6"/>
        <v>0</v>
      </c>
      <c r="AG27" s="538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451">
        <f t="shared" si="7"/>
        <v>0</v>
      </c>
      <c r="AT27" s="538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451">
        <f t="shared" si="3"/>
        <v>0</v>
      </c>
    </row>
    <row r="28" spans="1:58" ht="12.75" hidden="1" customHeight="1">
      <c r="A28" s="459"/>
      <c r="B28" s="490" t="s">
        <v>121</v>
      </c>
      <c r="C28" s="490"/>
      <c r="D28" s="13"/>
      <c r="E28" s="498"/>
      <c r="G28" s="5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51">
        <f t="shared" si="5"/>
        <v>0</v>
      </c>
      <c r="T28" s="53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451">
        <f t="shared" si="6"/>
        <v>0</v>
      </c>
      <c r="AG28" s="538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451">
        <f t="shared" si="7"/>
        <v>0</v>
      </c>
      <c r="AT28" s="538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451">
        <f t="shared" si="3"/>
        <v>0</v>
      </c>
    </row>
    <row r="29" spans="1:58" ht="12.75" hidden="1" customHeight="1">
      <c r="A29" s="504"/>
      <c r="B29" s="490"/>
      <c r="C29" s="491" t="s">
        <v>915</v>
      </c>
      <c r="D29" s="491"/>
      <c r="E29" s="498">
        <f>+S29+AF29+AS29+BF29</f>
        <v>0</v>
      </c>
      <c r="G29" s="5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51">
        <f t="shared" si="5"/>
        <v>0</v>
      </c>
      <c r="T29" s="538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451">
        <f t="shared" si="6"/>
        <v>0</v>
      </c>
      <c r="AG29" s="538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451">
        <f t="shared" si="7"/>
        <v>0</v>
      </c>
      <c r="AT29" s="538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451">
        <f t="shared" si="3"/>
        <v>0</v>
      </c>
    </row>
    <row r="30" spans="1:58" ht="12.75" hidden="1" customHeight="1">
      <c r="A30" s="504"/>
      <c r="B30" s="490"/>
      <c r="C30" s="491" t="s">
        <v>916</v>
      </c>
      <c r="D30" s="491"/>
      <c r="E30" s="498">
        <f>+S30+AF30+AS30+BF30</f>
        <v>0</v>
      </c>
      <c r="G30" s="53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451">
        <f t="shared" si="5"/>
        <v>0</v>
      </c>
      <c r="T30" s="53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451">
        <f t="shared" si="6"/>
        <v>0</v>
      </c>
      <c r="AG30" s="538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451">
        <f t="shared" si="7"/>
        <v>0</v>
      </c>
      <c r="AT30" s="538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451">
        <f t="shared" si="3"/>
        <v>0</v>
      </c>
    </row>
    <row r="31" spans="1:58" ht="12.75" hidden="1" customHeight="1">
      <c r="A31" s="504"/>
      <c r="B31" s="490"/>
      <c r="C31" s="491" t="s">
        <v>917</v>
      </c>
      <c r="D31" s="491"/>
      <c r="E31" s="498">
        <f>+S31+AF31+AS31+BF31</f>
        <v>0</v>
      </c>
      <c r="G31" s="53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51">
        <f t="shared" si="5"/>
        <v>0</v>
      </c>
      <c r="T31" s="53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451">
        <f t="shared" si="6"/>
        <v>0</v>
      </c>
      <c r="AG31" s="538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451">
        <f t="shared" si="7"/>
        <v>0</v>
      </c>
      <c r="AT31" s="538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451">
        <f t="shared" si="3"/>
        <v>0</v>
      </c>
    </row>
    <row r="32" spans="1:58" ht="12.75" hidden="1" customHeight="1">
      <c r="A32" s="504"/>
      <c r="B32" s="13"/>
      <c r="C32" s="491" t="s">
        <v>123</v>
      </c>
      <c r="D32" s="13"/>
      <c r="E32" s="499">
        <f>SUM(E29:E31)</f>
        <v>0</v>
      </c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51">
        <f t="shared" si="5"/>
        <v>0</v>
      </c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51">
        <f t="shared" si="6"/>
        <v>0</v>
      </c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51">
        <f t="shared" si="7"/>
        <v>0</v>
      </c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51">
        <f t="shared" si="3"/>
        <v>0</v>
      </c>
    </row>
    <row r="33" spans="1:58">
      <c r="A33" s="459"/>
      <c r="B33" s="381" t="s">
        <v>323</v>
      </c>
      <c r="C33" s="381"/>
      <c r="D33" s="505"/>
      <c r="E33" s="498"/>
      <c r="G33" s="53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51">
        <f t="shared" si="5"/>
        <v>0</v>
      </c>
      <c r="T33" s="538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451">
        <f t="shared" si="6"/>
        <v>0</v>
      </c>
      <c r="AG33" s="538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451">
        <f t="shared" si="7"/>
        <v>0</v>
      </c>
      <c r="AT33" s="538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451">
        <f t="shared" si="3"/>
        <v>0</v>
      </c>
    </row>
    <row r="34" spans="1:58">
      <c r="A34" s="504"/>
      <c r="B34" s="381"/>
      <c r="C34" s="505" t="s">
        <v>918</v>
      </c>
      <c r="D34" s="505"/>
      <c r="E34" s="498">
        <f>+S34+AF34+AS34+BF34</f>
        <v>2391051.86</v>
      </c>
      <c r="G34" s="53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51">
        <f t="shared" si="5"/>
        <v>0</v>
      </c>
      <c r="T34" s="538">
        <v>238166.16</v>
      </c>
      <c r="U34" s="12"/>
      <c r="V34" s="12">
        <f>858346.65+498941.76+746149.1+368891.29+308481.73+51080.26+531898.56</f>
        <v>3363789.35</v>
      </c>
      <c r="W34" s="12">
        <f>100723.7+213178.35+137801.35+5674.58</f>
        <v>457377.98000000004</v>
      </c>
      <c r="X34" s="12">
        <f>107152.23+100727.06</f>
        <v>207879.28999999998</v>
      </c>
      <c r="Y34" s="12">
        <f>56341.29+100647.48+56720.54</f>
        <v>213709.31</v>
      </c>
      <c r="Z34" s="12">
        <f>25888.27+324957.37+325463.81+325684.75+159985.87</f>
        <v>1161980.0699999998</v>
      </c>
      <c r="AA34" s="12">
        <f>90053.17+166589.37</f>
        <v>256642.53999999998</v>
      </c>
      <c r="AB34" s="542">
        <f>159902.16+348901.75+400783.09+393751.43+679897.36+407816.07</f>
        <v>2391051.86</v>
      </c>
      <c r="AC34" s="12"/>
      <c r="AD34" s="12"/>
      <c r="AE34" s="12"/>
      <c r="AF34" s="451">
        <f t="shared" si="6"/>
        <v>2391051.86</v>
      </c>
      <c r="AG34" s="538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451">
        <f t="shared" si="7"/>
        <v>0</v>
      </c>
      <c r="AT34" s="538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451">
        <f t="shared" si="3"/>
        <v>0</v>
      </c>
    </row>
    <row r="35" spans="1:58" ht="12.75" hidden="1" customHeight="1">
      <c r="A35" s="504"/>
      <c r="B35" s="381"/>
      <c r="C35" s="491" t="s">
        <v>919</v>
      </c>
      <c r="D35" s="491"/>
      <c r="E35" s="498">
        <f>+S35+AF35+AS35+BF35</f>
        <v>0</v>
      </c>
      <c r="G35" s="53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51">
        <f t="shared" si="5"/>
        <v>0</v>
      </c>
      <c r="T35" s="538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451">
        <f t="shared" si="6"/>
        <v>0</v>
      </c>
      <c r="AG35" s="538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451">
        <f t="shared" si="7"/>
        <v>0</v>
      </c>
      <c r="AT35" s="538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451">
        <f t="shared" si="3"/>
        <v>0</v>
      </c>
    </row>
    <row r="36" spans="1:58" ht="12.75" hidden="1" customHeight="1">
      <c r="A36" s="504"/>
      <c r="B36" s="505"/>
      <c r="C36" s="505" t="s">
        <v>920</v>
      </c>
      <c r="D36" s="505"/>
      <c r="E36" s="498">
        <f>+S36+AF36+AS36+BF36</f>
        <v>0</v>
      </c>
      <c r="G36" s="53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51">
        <f t="shared" si="5"/>
        <v>0</v>
      </c>
      <c r="T36" s="538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451">
        <f t="shared" si="6"/>
        <v>0</v>
      </c>
      <c r="AG36" s="538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451">
        <f t="shared" si="7"/>
        <v>0</v>
      </c>
      <c r="AT36" s="538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451">
        <f t="shared" si="3"/>
        <v>0</v>
      </c>
    </row>
    <row r="37" spans="1:58">
      <c r="A37" s="459"/>
      <c r="B37" s="13"/>
      <c r="C37" s="491" t="s">
        <v>324</v>
      </c>
      <c r="D37" s="13"/>
      <c r="E37" s="499">
        <f>SUM(E34:E36)</f>
        <v>2391051.86</v>
      </c>
      <c r="G37" s="499">
        <f t="shared" ref="G37:BE37" si="11">SUM(G34:G36)</f>
        <v>0</v>
      </c>
      <c r="H37" s="499">
        <f t="shared" si="11"/>
        <v>0</v>
      </c>
      <c r="I37" s="499">
        <f t="shared" si="11"/>
        <v>0</v>
      </c>
      <c r="J37" s="499">
        <f t="shared" si="11"/>
        <v>0</v>
      </c>
      <c r="K37" s="499">
        <f t="shared" si="11"/>
        <v>0</v>
      </c>
      <c r="L37" s="499">
        <f t="shared" si="11"/>
        <v>0</v>
      </c>
      <c r="M37" s="499">
        <f t="shared" si="11"/>
        <v>0</v>
      </c>
      <c r="N37" s="499">
        <f t="shared" si="11"/>
        <v>0</v>
      </c>
      <c r="O37" s="499">
        <f t="shared" si="11"/>
        <v>0</v>
      </c>
      <c r="P37" s="499">
        <f t="shared" si="11"/>
        <v>0</v>
      </c>
      <c r="Q37" s="499">
        <f t="shared" si="11"/>
        <v>0</v>
      </c>
      <c r="R37" s="499">
        <f t="shared" si="11"/>
        <v>0</v>
      </c>
      <c r="S37" s="451">
        <f t="shared" si="5"/>
        <v>0</v>
      </c>
      <c r="T37" s="499">
        <f t="shared" si="11"/>
        <v>238166.16</v>
      </c>
      <c r="U37" s="499">
        <f t="shared" si="11"/>
        <v>0</v>
      </c>
      <c r="V37" s="499">
        <f t="shared" si="11"/>
        <v>3363789.35</v>
      </c>
      <c r="W37" s="499">
        <f t="shared" si="11"/>
        <v>457377.98000000004</v>
      </c>
      <c r="X37" s="499">
        <f t="shared" si="11"/>
        <v>207879.28999999998</v>
      </c>
      <c r="Y37" s="499">
        <f t="shared" si="11"/>
        <v>213709.31</v>
      </c>
      <c r="Z37" s="499">
        <f t="shared" si="11"/>
        <v>1161980.0699999998</v>
      </c>
      <c r="AA37" s="499">
        <f t="shared" si="11"/>
        <v>256642.53999999998</v>
      </c>
      <c r="AB37" s="499">
        <f>SUM(AB34:AB36)</f>
        <v>2391051.86</v>
      </c>
      <c r="AC37" s="499">
        <f t="shared" si="11"/>
        <v>0</v>
      </c>
      <c r="AD37" s="499">
        <f t="shared" si="11"/>
        <v>0</v>
      </c>
      <c r="AE37" s="499">
        <f t="shared" si="11"/>
        <v>0</v>
      </c>
      <c r="AF37" s="451">
        <f t="shared" si="6"/>
        <v>2391051.86</v>
      </c>
      <c r="AG37" s="499">
        <f t="shared" si="11"/>
        <v>0</v>
      </c>
      <c r="AH37" s="499">
        <f t="shared" si="11"/>
        <v>0</v>
      </c>
      <c r="AI37" s="499">
        <f t="shared" si="11"/>
        <v>0</v>
      </c>
      <c r="AJ37" s="499">
        <f t="shared" si="11"/>
        <v>0</v>
      </c>
      <c r="AK37" s="499">
        <f t="shared" si="11"/>
        <v>0</v>
      </c>
      <c r="AL37" s="499">
        <f t="shared" si="11"/>
        <v>0</v>
      </c>
      <c r="AM37" s="499">
        <f t="shared" si="11"/>
        <v>0</v>
      </c>
      <c r="AN37" s="499">
        <f t="shared" si="11"/>
        <v>0</v>
      </c>
      <c r="AO37" s="499">
        <f t="shared" si="11"/>
        <v>0</v>
      </c>
      <c r="AP37" s="499">
        <f t="shared" si="11"/>
        <v>0</v>
      </c>
      <c r="AQ37" s="499">
        <f t="shared" si="11"/>
        <v>0</v>
      </c>
      <c r="AR37" s="499">
        <f t="shared" si="11"/>
        <v>0</v>
      </c>
      <c r="AS37" s="451">
        <f t="shared" si="7"/>
        <v>0</v>
      </c>
      <c r="AT37" s="499">
        <f t="shared" si="11"/>
        <v>0</v>
      </c>
      <c r="AU37" s="499">
        <f t="shared" si="11"/>
        <v>0</v>
      </c>
      <c r="AV37" s="499">
        <f t="shared" si="11"/>
        <v>0</v>
      </c>
      <c r="AW37" s="499">
        <f t="shared" si="11"/>
        <v>0</v>
      </c>
      <c r="AX37" s="499">
        <f t="shared" si="11"/>
        <v>0</v>
      </c>
      <c r="AY37" s="499">
        <f t="shared" si="11"/>
        <v>0</v>
      </c>
      <c r="AZ37" s="499">
        <f t="shared" si="11"/>
        <v>0</v>
      </c>
      <c r="BA37" s="499">
        <f t="shared" si="11"/>
        <v>0</v>
      </c>
      <c r="BB37" s="499">
        <f t="shared" si="11"/>
        <v>0</v>
      </c>
      <c r="BC37" s="499">
        <f t="shared" si="11"/>
        <v>0</v>
      </c>
      <c r="BD37" s="499">
        <f t="shared" si="11"/>
        <v>0</v>
      </c>
      <c r="BE37" s="499">
        <f t="shared" si="11"/>
        <v>0</v>
      </c>
      <c r="BF37" s="451">
        <f t="shared" si="3"/>
        <v>0</v>
      </c>
    </row>
    <row r="38" spans="1:58">
      <c r="A38" s="495"/>
      <c r="B38" s="490" t="s">
        <v>921</v>
      </c>
      <c r="C38" s="490"/>
      <c r="D38" s="13"/>
      <c r="E38" s="501">
        <f>+E32-E37</f>
        <v>-2391051.86</v>
      </c>
      <c r="G38" s="53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51">
        <f t="shared" si="5"/>
        <v>0</v>
      </c>
      <c r="T38" s="538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451">
        <f t="shared" si="6"/>
        <v>0</v>
      </c>
      <c r="AG38" s="538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451">
        <f t="shared" si="7"/>
        <v>0</v>
      </c>
      <c r="AT38" s="538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451">
        <f t="shared" si="3"/>
        <v>0</v>
      </c>
    </row>
    <row r="39" spans="1:58" ht="12.75" hidden="1" customHeight="1">
      <c r="A39" s="495" t="s">
        <v>326</v>
      </c>
      <c r="B39" s="13"/>
      <c r="C39" s="13"/>
      <c r="D39" s="13"/>
      <c r="E39" s="498"/>
      <c r="G39" s="53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51">
        <f t="shared" si="5"/>
        <v>0</v>
      </c>
      <c r="T39" s="538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451">
        <f t="shared" si="6"/>
        <v>0</v>
      </c>
      <c r="AG39" s="538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451">
        <f t="shared" si="7"/>
        <v>0</v>
      </c>
      <c r="AT39" s="538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451">
        <f t="shared" si="3"/>
        <v>0</v>
      </c>
    </row>
    <row r="40" spans="1:58" ht="12.75" hidden="1" customHeight="1">
      <c r="A40" s="459"/>
      <c r="B40" s="490" t="s">
        <v>121</v>
      </c>
      <c r="C40" s="490"/>
      <c r="D40" s="491"/>
      <c r="E40" s="498"/>
      <c r="G40" s="53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51">
        <f t="shared" si="5"/>
        <v>0</v>
      </c>
      <c r="T40" s="538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451">
        <f t="shared" si="6"/>
        <v>0</v>
      </c>
      <c r="AG40" s="538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51">
        <f t="shared" si="7"/>
        <v>0</v>
      </c>
      <c r="AT40" s="538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451">
        <f t="shared" si="3"/>
        <v>0</v>
      </c>
    </row>
    <row r="41" spans="1:58" ht="12.75" hidden="1" customHeight="1">
      <c r="A41" s="504"/>
      <c r="B41" s="490"/>
      <c r="C41" s="491" t="s">
        <v>922</v>
      </c>
      <c r="D41" s="491"/>
      <c r="E41" s="498">
        <f>+S41+AF41+AS41+BF41</f>
        <v>0</v>
      </c>
      <c r="G41" s="53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451">
        <f t="shared" si="5"/>
        <v>0</v>
      </c>
      <c r="T41" s="538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451">
        <f t="shared" si="6"/>
        <v>0</v>
      </c>
      <c r="AG41" s="538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451">
        <f t="shared" si="7"/>
        <v>0</v>
      </c>
      <c r="AT41" s="538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451">
        <f t="shared" si="3"/>
        <v>0</v>
      </c>
    </row>
    <row r="42" spans="1:58" ht="12.75" hidden="1" customHeight="1">
      <c r="A42" s="504"/>
      <c r="B42" s="490"/>
      <c r="C42" s="491" t="s">
        <v>923</v>
      </c>
      <c r="D42" s="491"/>
      <c r="E42" s="498">
        <f>+S42+AF42+AS42+BF42</f>
        <v>0</v>
      </c>
      <c r="G42" s="53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51">
        <f t="shared" si="5"/>
        <v>0</v>
      </c>
      <c r="T42" s="538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451">
        <f t="shared" si="6"/>
        <v>0</v>
      </c>
      <c r="AG42" s="538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451">
        <f t="shared" si="7"/>
        <v>0</v>
      </c>
      <c r="AT42" s="538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451">
        <f t="shared" si="3"/>
        <v>0</v>
      </c>
    </row>
    <row r="43" spans="1:58" ht="12.75" hidden="1" customHeight="1">
      <c r="A43" s="504"/>
      <c r="B43" s="13"/>
      <c r="C43" s="491" t="s">
        <v>123</v>
      </c>
      <c r="D43" s="13"/>
      <c r="E43" s="499">
        <f>SUM(E41:E42)</f>
        <v>0</v>
      </c>
      <c r="G43" s="499">
        <f t="shared" ref="G43:BE43" si="12">SUM(G41:G42)</f>
        <v>0</v>
      </c>
      <c r="H43" s="499">
        <f t="shared" si="12"/>
        <v>0</v>
      </c>
      <c r="I43" s="499">
        <f t="shared" si="12"/>
        <v>0</v>
      </c>
      <c r="J43" s="499">
        <f t="shared" si="12"/>
        <v>0</v>
      </c>
      <c r="K43" s="499">
        <f t="shared" si="12"/>
        <v>0</v>
      </c>
      <c r="L43" s="499">
        <f t="shared" si="12"/>
        <v>0</v>
      </c>
      <c r="M43" s="499">
        <f t="shared" si="12"/>
        <v>0</v>
      </c>
      <c r="N43" s="499">
        <f t="shared" si="12"/>
        <v>0</v>
      </c>
      <c r="O43" s="499">
        <f t="shared" si="12"/>
        <v>0</v>
      </c>
      <c r="P43" s="499">
        <f t="shared" si="12"/>
        <v>0</v>
      </c>
      <c r="Q43" s="499">
        <f t="shared" si="12"/>
        <v>0</v>
      </c>
      <c r="R43" s="499">
        <f t="shared" si="12"/>
        <v>0</v>
      </c>
      <c r="S43" s="451">
        <f t="shared" si="5"/>
        <v>0</v>
      </c>
      <c r="T43" s="499">
        <f t="shared" si="12"/>
        <v>0</v>
      </c>
      <c r="U43" s="499">
        <f t="shared" si="12"/>
        <v>0</v>
      </c>
      <c r="V43" s="499">
        <f t="shared" si="12"/>
        <v>0</v>
      </c>
      <c r="W43" s="499">
        <f t="shared" si="12"/>
        <v>0</v>
      </c>
      <c r="X43" s="499">
        <f t="shared" si="12"/>
        <v>0</v>
      </c>
      <c r="Y43" s="499">
        <f t="shared" si="12"/>
        <v>0</v>
      </c>
      <c r="Z43" s="499">
        <f t="shared" si="12"/>
        <v>0</v>
      </c>
      <c r="AA43" s="499">
        <f t="shared" si="12"/>
        <v>0</v>
      </c>
      <c r="AB43" s="499">
        <f t="shared" si="12"/>
        <v>0</v>
      </c>
      <c r="AC43" s="499">
        <f t="shared" si="12"/>
        <v>0</v>
      </c>
      <c r="AD43" s="499">
        <f t="shared" si="12"/>
        <v>0</v>
      </c>
      <c r="AE43" s="499">
        <f t="shared" si="12"/>
        <v>0</v>
      </c>
      <c r="AF43" s="451">
        <f t="shared" si="6"/>
        <v>0</v>
      </c>
      <c r="AG43" s="499">
        <f t="shared" si="12"/>
        <v>0</v>
      </c>
      <c r="AH43" s="499">
        <f t="shared" si="12"/>
        <v>0</v>
      </c>
      <c r="AI43" s="499">
        <f t="shared" si="12"/>
        <v>0</v>
      </c>
      <c r="AJ43" s="499">
        <f t="shared" si="12"/>
        <v>0</v>
      </c>
      <c r="AK43" s="499">
        <f t="shared" si="12"/>
        <v>0</v>
      </c>
      <c r="AL43" s="499">
        <f t="shared" si="12"/>
        <v>0</v>
      </c>
      <c r="AM43" s="499">
        <f t="shared" si="12"/>
        <v>0</v>
      </c>
      <c r="AN43" s="499">
        <f t="shared" si="12"/>
        <v>0</v>
      </c>
      <c r="AO43" s="499">
        <f t="shared" si="12"/>
        <v>0</v>
      </c>
      <c r="AP43" s="499">
        <f t="shared" si="12"/>
        <v>0</v>
      </c>
      <c r="AQ43" s="499">
        <f t="shared" si="12"/>
        <v>0</v>
      </c>
      <c r="AR43" s="499">
        <f t="shared" si="12"/>
        <v>0</v>
      </c>
      <c r="AS43" s="451">
        <f t="shared" si="7"/>
        <v>0</v>
      </c>
      <c r="AT43" s="499">
        <f t="shared" si="12"/>
        <v>0</v>
      </c>
      <c r="AU43" s="499">
        <f t="shared" si="12"/>
        <v>0</v>
      </c>
      <c r="AV43" s="499">
        <f t="shared" si="12"/>
        <v>0</v>
      </c>
      <c r="AW43" s="499">
        <f t="shared" si="12"/>
        <v>0</v>
      </c>
      <c r="AX43" s="499">
        <f t="shared" si="12"/>
        <v>0</v>
      </c>
      <c r="AY43" s="499">
        <f t="shared" si="12"/>
        <v>0</v>
      </c>
      <c r="AZ43" s="499">
        <f t="shared" si="12"/>
        <v>0</v>
      </c>
      <c r="BA43" s="499">
        <f t="shared" si="12"/>
        <v>0</v>
      </c>
      <c r="BB43" s="499">
        <f t="shared" si="12"/>
        <v>0</v>
      </c>
      <c r="BC43" s="499">
        <f t="shared" si="12"/>
        <v>0</v>
      </c>
      <c r="BD43" s="499">
        <f t="shared" si="12"/>
        <v>0</v>
      </c>
      <c r="BE43" s="499">
        <f t="shared" si="12"/>
        <v>0</v>
      </c>
      <c r="BF43" s="451">
        <f t="shared" si="3"/>
        <v>0</v>
      </c>
    </row>
    <row r="44" spans="1:58" ht="12.75" hidden="1" customHeight="1">
      <c r="A44" s="504"/>
      <c r="B44" s="381" t="s">
        <v>323</v>
      </c>
      <c r="C44" s="381"/>
      <c r="D44" s="13"/>
      <c r="E44" s="498"/>
      <c r="G44" s="53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451">
        <f t="shared" si="5"/>
        <v>0</v>
      </c>
      <c r="T44" s="538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451">
        <f t="shared" si="6"/>
        <v>0</v>
      </c>
      <c r="AG44" s="538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451">
        <f t="shared" si="7"/>
        <v>0</v>
      </c>
      <c r="AT44" s="538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451">
        <f t="shared" si="3"/>
        <v>0</v>
      </c>
    </row>
    <row r="45" spans="1:58" ht="12.75" hidden="1" customHeight="1">
      <c r="A45" s="504"/>
      <c r="B45" s="13"/>
      <c r="C45" s="13" t="s">
        <v>401</v>
      </c>
      <c r="D45" s="13"/>
      <c r="E45" s="498">
        <f>+S45+AF45+AS45+BF45</f>
        <v>0</v>
      </c>
      <c r="G45" s="53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51">
        <f t="shared" si="5"/>
        <v>0</v>
      </c>
      <c r="T45" s="538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451">
        <f t="shared" si="6"/>
        <v>0</v>
      </c>
      <c r="AG45" s="538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51">
        <f t="shared" si="7"/>
        <v>0</v>
      </c>
      <c r="AT45" s="538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451">
        <f t="shared" si="3"/>
        <v>0</v>
      </c>
    </row>
    <row r="46" spans="1:58" ht="12.75" hidden="1" customHeight="1">
      <c r="A46" s="459"/>
      <c r="B46" s="13"/>
      <c r="C46" s="350" t="s">
        <v>945</v>
      </c>
      <c r="D46" s="13"/>
      <c r="E46" s="503">
        <f>+S46+AF46+AS46+BF46</f>
        <v>0</v>
      </c>
      <c r="G46" s="538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51">
        <f t="shared" si="5"/>
        <v>0</v>
      </c>
      <c r="T46" s="538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451">
        <f t="shared" si="6"/>
        <v>0</v>
      </c>
      <c r="AG46" s="538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451">
        <f t="shared" si="7"/>
        <v>0</v>
      </c>
      <c r="AT46" s="538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451">
        <f t="shared" si="3"/>
        <v>0</v>
      </c>
    </row>
    <row r="47" spans="1:58" ht="12.75" hidden="1" customHeight="1">
      <c r="A47" s="459"/>
      <c r="B47" s="13"/>
      <c r="C47" s="491" t="s">
        <v>324</v>
      </c>
      <c r="D47" s="13"/>
      <c r="E47" s="499">
        <f>SUM(E45:E46)</f>
        <v>0</v>
      </c>
      <c r="G47" s="499">
        <f t="shared" ref="G47:BE47" si="13">SUM(G45:G46)</f>
        <v>0</v>
      </c>
      <c r="H47" s="499">
        <f t="shared" si="13"/>
        <v>0</v>
      </c>
      <c r="I47" s="499">
        <f t="shared" si="13"/>
        <v>0</v>
      </c>
      <c r="J47" s="499">
        <f t="shared" si="13"/>
        <v>0</v>
      </c>
      <c r="K47" s="499">
        <f t="shared" si="13"/>
        <v>0</v>
      </c>
      <c r="L47" s="499">
        <f t="shared" si="13"/>
        <v>0</v>
      </c>
      <c r="M47" s="499">
        <f t="shared" si="13"/>
        <v>0</v>
      </c>
      <c r="N47" s="499">
        <f t="shared" si="13"/>
        <v>0</v>
      </c>
      <c r="O47" s="499">
        <f t="shared" si="13"/>
        <v>0</v>
      </c>
      <c r="P47" s="499">
        <f t="shared" si="13"/>
        <v>0</v>
      </c>
      <c r="Q47" s="499">
        <f t="shared" si="13"/>
        <v>0</v>
      </c>
      <c r="R47" s="499">
        <f t="shared" si="13"/>
        <v>0</v>
      </c>
      <c r="S47" s="451">
        <f t="shared" si="5"/>
        <v>0</v>
      </c>
      <c r="T47" s="499">
        <f t="shared" si="13"/>
        <v>0</v>
      </c>
      <c r="U47" s="499">
        <f t="shared" si="13"/>
        <v>0</v>
      </c>
      <c r="V47" s="499">
        <f t="shared" si="13"/>
        <v>0</v>
      </c>
      <c r="W47" s="499">
        <f t="shared" si="13"/>
        <v>0</v>
      </c>
      <c r="X47" s="499">
        <f t="shared" si="13"/>
        <v>0</v>
      </c>
      <c r="Y47" s="499">
        <f t="shared" si="13"/>
        <v>0</v>
      </c>
      <c r="Z47" s="499">
        <f t="shared" si="13"/>
        <v>0</v>
      </c>
      <c r="AA47" s="499">
        <f t="shared" si="13"/>
        <v>0</v>
      </c>
      <c r="AB47" s="499">
        <f t="shared" si="13"/>
        <v>0</v>
      </c>
      <c r="AC47" s="499">
        <f t="shared" si="13"/>
        <v>0</v>
      </c>
      <c r="AD47" s="499">
        <f t="shared" si="13"/>
        <v>0</v>
      </c>
      <c r="AE47" s="499">
        <f t="shared" si="13"/>
        <v>0</v>
      </c>
      <c r="AF47" s="451">
        <f t="shared" si="6"/>
        <v>0</v>
      </c>
      <c r="AG47" s="499">
        <f t="shared" si="13"/>
        <v>0</v>
      </c>
      <c r="AH47" s="499">
        <f t="shared" si="13"/>
        <v>0</v>
      </c>
      <c r="AI47" s="499">
        <f t="shared" si="13"/>
        <v>0</v>
      </c>
      <c r="AJ47" s="499">
        <f t="shared" si="13"/>
        <v>0</v>
      </c>
      <c r="AK47" s="499">
        <f t="shared" si="13"/>
        <v>0</v>
      </c>
      <c r="AL47" s="499">
        <f t="shared" si="13"/>
        <v>0</v>
      </c>
      <c r="AM47" s="499">
        <f t="shared" si="13"/>
        <v>0</v>
      </c>
      <c r="AN47" s="499">
        <f t="shared" si="13"/>
        <v>0</v>
      </c>
      <c r="AO47" s="499">
        <f t="shared" si="13"/>
        <v>0</v>
      </c>
      <c r="AP47" s="499">
        <f t="shared" si="13"/>
        <v>0</v>
      </c>
      <c r="AQ47" s="499">
        <f t="shared" si="13"/>
        <v>0</v>
      </c>
      <c r="AR47" s="499">
        <f t="shared" si="13"/>
        <v>0</v>
      </c>
      <c r="AS47" s="451">
        <f t="shared" si="7"/>
        <v>0</v>
      </c>
      <c r="AT47" s="499">
        <f t="shared" si="13"/>
        <v>0</v>
      </c>
      <c r="AU47" s="499">
        <f t="shared" si="13"/>
        <v>0</v>
      </c>
      <c r="AV47" s="499">
        <f t="shared" si="13"/>
        <v>0</v>
      </c>
      <c r="AW47" s="499">
        <f t="shared" si="13"/>
        <v>0</v>
      </c>
      <c r="AX47" s="499">
        <f t="shared" si="13"/>
        <v>0</v>
      </c>
      <c r="AY47" s="499">
        <f t="shared" si="13"/>
        <v>0</v>
      </c>
      <c r="AZ47" s="499">
        <f t="shared" si="13"/>
        <v>0</v>
      </c>
      <c r="BA47" s="499">
        <f t="shared" si="13"/>
        <v>0</v>
      </c>
      <c r="BB47" s="499">
        <f t="shared" si="13"/>
        <v>0</v>
      </c>
      <c r="BC47" s="499">
        <f t="shared" si="13"/>
        <v>0</v>
      </c>
      <c r="BD47" s="499">
        <f t="shared" si="13"/>
        <v>0</v>
      </c>
      <c r="BE47" s="499">
        <f t="shared" si="13"/>
        <v>0</v>
      </c>
      <c r="BF47" s="451">
        <f t="shared" si="3"/>
        <v>0</v>
      </c>
    </row>
    <row r="48" spans="1:58" ht="12.75" hidden="1" customHeight="1">
      <c r="A48" s="459"/>
      <c r="B48" s="142" t="s">
        <v>921</v>
      </c>
      <c r="C48" s="490"/>
      <c r="D48" s="13"/>
      <c r="E48" s="499">
        <f>+E43-E47</f>
        <v>0</v>
      </c>
      <c r="G48" s="53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451">
        <f t="shared" si="5"/>
        <v>0</v>
      </c>
      <c r="T48" s="538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451">
        <f t="shared" si="6"/>
        <v>0</v>
      </c>
      <c r="AG48" s="538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451">
        <f t="shared" si="7"/>
        <v>0</v>
      </c>
      <c r="AT48" s="538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451">
        <f t="shared" si="3"/>
        <v>0</v>
      </c>
    </row>
    <row r="49" spans="1:58">
      <c r="A49" s="459"/>
      <c r="B49" s="13"/>
      <c r="C49" s="13"/>
      <c r="D49" s="13"/>
      <c r="E49" s="498"/>
      <c r="G49" s="53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451">
        <f t="shared" si="5"/>
        <v>0</v>
      </c>
      <c r="T49" s="538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451">
        <f t="shared" si="6"/>
        <v>0</v>
      </c>
      <c r="AG49" s="538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451">
        <f t="shared" si="7"/>
        <v>0</v>
      </c>
      <c r="AT49" s="538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451">
        <f t="shared" si="3"/>
        <v>0</v>
      </c>
    </row>
    <row r="50" spans="1:58">
      <c r="A50" s="495" t="s">
        <v>924</v>
      </c>
      <c r="B50" s="490"/>
      <c r="C50" s="490"/>
      <c r="D50" s="13"/>
      <c r="E50" s="502">
        <f>+E48+E38+E26</f>
        <v>-2014638.83</v>
      </c>
      <c r="F50" s="19"/>
      <c r="G50" s="539">
        <f t="shared" ref="G50:BE50" si="14">+G18+G32+G43-G25-G37-G47</f>
        <v>8932552.9199999999</v>
      </c>
      <c r="H50" s="539">
        <f t="shared" si="14"/>
        <v>6788494.2699999996</v>
      </c>
      <c r="I50" s="539">
        <f t="shared" si="14"/>
        <v>23574024.469999999</v>
      </c>
      <c r="J50" s="539">
        <f t="shared" si="14"/>
        <v>12439746.329999998</v>
      </c>
      <c r="K50" s="539">
        <f t="shared" si="14"/>
        <v>4021031.6</v>
      </c>
      <c r="L50" s="539">
        <f t="shared" si="14"/>
        <v>4226484.1100000003</v>
      </c>
      <c r="M50" s="539">
        <f t="shared" si="14"/>
        <v>2201447.8499999996</v>
      </c>
      <c r="N50" s="539">
        <f t="shared" si="14"/>
        <v>1568746.23</v>
      </c>
      <c r="O50" s="539">
        <f t="shared" si="14"/>
        <v>3367313.6599999997</v>
      </c>
      <c r="P50" s="539">
        <f t="shared" si="14"/>
        <v>0</v>
      </c>
      <c r="Q50" s="539">
        <f t="shared" si="14"/>
        <v>0</v>
      </c>
      <c r="R50" s="539">
        <f t="shared" si="14"/>
        <v>0</v>
      </c>
      <c r="S50" s="451">
        <f t="shared" si="5"/>
        <v>3367313.6599999997</v>
      </c>
      <c r="T50" s="539">
        <f t="shared" si="14"/>
        <v>-2476641.0900000003</v>
      </c>
      <c r="U50" s="539">
        <f t="shared" si="14"/>
        <v>-779403.98</v>
      </c>
      <c r="V50" s="539">
        <f t="shared" si="14"/>
        <v>-9687159.1699999999</v>
      </c>
      <c r="W50" s="539">
        <f t="shared" si="14"/>
        <v>-3204992.5</v>
      </c>
      <c r="X50" s="539">
        <f t="shared" si="14"/>
        <v>-2551386.44</v>
      </c>
      <c r="Y50" s="539">
        <f t="shared" si="14"/>
        <v>-1480196.1800000002</v>
      </c>
      <c r="Z50" s="539">
        <f t="shared" si="14"/>
        <v>-3244530.0599999996</v>
      </c>
      <c r="AA50" s="539">
        <f t="shared" si="14"/>
        <v>-4037237.5300000003</v>
      </c>
      <c r="AB50" s="539">
        <f t="shared" si="14"/>
        <v>-3306679.7</v>
      </c>
      <c r="AC50" s="539">
        <f t="shared" si="14"/>
        <v>0</v>
      </c>
      <c r="AD50" s="539">
        <f t="shared" si="14"/>
        <v>0</v>
      </c>
      <c r="AE50" s="539">
        <f t="shared" si="14"/>
        <v>0</v>
      </c>
      <c r="AF50" s="451">
        <f t="shared" si="6"/>
        <v>-3306679.7</v>
      </c>
      <c r="AG50" s="539">
        <f t="shared" si="14"/>
        <v>-193825.31</v>
      </c>
      <c r="AH50" s="539">
        <f t="shared" si="14"/>
        <v>-2263115.38</v>
      </c>
      <c r="AI50" s="539">
        <f t="shared" si="14"/>
        <v>-4276794.3000000007</v>
      </c>
      <c r="AJ50" s="539">
        <f t="shared" si="14"/>
        <v>-3083302.98</v>
      </c>
      <c r="AK50" s="539">
        <f t="shared" si="14"/>
        <v>-2012478.3400000003</v>
      </c>
      <c r="AL50" s="539">
        <f t="shared" si="14"/>
        <v>-3446853.1500000004</v>
      </c>
      <c r="AM50" s="539">
        <f t="shared" si="14"/>
        <v>-2100141.3800000004</v>
      </c>
      <c r="AN50" s="539">
        <f t="shared" si="14"/>
        <v>-506344.64999999991</v>
      </c>
      <c r="AO50" s="539">
        <f t="shared" si="14"/>
        <v>-2075272.79</v>
      </c>
      <c r="AP50" s="539">
        <f t="shared" si="14"/>
        <v>0</v>
      </c>
      <c r="AQ50" s="539">
        <f t="shared" si="14"/>
        <v>0</v>
      </c>
      <c r="AR50" s="539">
        <f t="shared" si="14"/>
        <v>0</v>
      </c>
      <c r="AS50" s="451">
        <f t="shared" si="7"/>
        <v>-2075272.79</v>
      </c>
      <c r="AT50" s="539">
        <f t="shared" si="14"/>
        <v>0</v>
      </c>
      <c r="AU50" s="539">
        <f t="shared" si="14"/>
        <v>0</v>
      </c>
      <c r="AV50" s="539">
        <f t="shared" si="14"/>
        <v>-299720</v>
      </c>
      <c r="AW50" s="539">
        <f t="shared" si="14"/>
        <v>0</v>
      </c>
      <c r="AX50" s="539">
        <f t="shared" si="14"/>
        <v>0</v>
      </c>
      <c r="AY50" s="539">
        <f t="shared" si="14"/>
        <v>0</v>
      </c>
      <c r="AZ50" s="539">
        <f t="shared" si="14"/>
        <v>0</v>
      </c>
      <c r="BA50" s="539">
        <f t="shared" si="14"/>
        <v>0</v>
      </c>
      <c r="BB50" s="539">
        <f t="shared" si="14"/>
        <v>0</v>
      </c>
      <c r="BC50" s="539">
        <f t="shared" si="14"/>
        <v>0</v>
      </c>
      <c r="BD50" s="539">
        <f t="shared" si="14"/>
        <v>0</v>
      </c>
      <c r="BE50" s="539">
        <f t="shared" si="14"/>
        <v>0</v>
      </c>
      <c r="BF50" s="451">
        <f t="shared" si="3"/>
        <v>0</v>
      </c>
    </row>
    <row r="51" spans="1:58">
      <c r="A51" s="495" t="s">
        <v>1150</v>
      </c>
      <c r="B51" s="490"/>
      <c r="C51" s="490"/>
      <c r="D51" s="13"/>
      <c r="E51" s="503">
        <v>140543271.94</v>
      </c>
      <c r="G51" s="642">
        <f>+G50-[2]CRJ!$J$840</f>
        <v>0</v>
      </c>
      <c r="H51" s="13"/>
      <c r="I51" s="13"/>
      <c r="J51" s="13"/>
      <c r="K51" s="13"/>
      <c r="L51" s="13"/>
      <c r="M51" s="13"/>
      <c r="N51" s="16"/>
      <c r="O51" s="13"/>
      <c r="P51" s="13"/>
      <c r="Q51" s="13"/>
      <c r="R51" s="13"/>
      <c r="S51" s="451">
        <f t="shared" si="5"/>
        <v>0</v>
      </c>
      <c r="T51" s="459"/>
      <c r="U51" s="13"/>
      <c r="V51" s="13"/>
      <c r="W51" s="13"/>
      <c r="X51" s="13"/>
      <c r="Y51" s="13"/>
      <c r="Z51" s="13"/>
      <c r="AA51" s="16"/>
      <c r="AB51" s="13"/>
      <c r="AC51" s="13"/>
      <c r="AD51" s="13"/>
      <c r="AE51" s="13"/>
      <c r="AF51" s="451">
        <f t="shared" si="1"/>
        <v>0</v>
      </c>
      <c r="AG51" s="459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451">
        <f t="shared" si="2"/>
        <v>0</v>
      </c>
      <c r="AT51" s="459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451">
        <f t="shared" si="3"/>
        <v>0</v>
      </c>
    </row>
    <row r="52" spans="1:58" ht="13.5" thickBot="1">
      <c r="A52" s="496" t="s">
        <v>1129</v>
      </c>
      <c r="B52" s="492"/>
      <c r="C52" s="492"/>
      <c r="D52" s="14"/>
      <c r="E52" s="506">
        <f>+E51+E50</f>
        <v>138528633.10999998</v>
      </c>
      <c r="F52" s="19">
        <f>+E52-BS!F25</f>
        <v>0</v>
      </c>
      <c r="G52" s="540"/>
      <c r="H52" s="14"/>
      <c r="I52" s="14"/>
      <c r="J52" s="14"/>
      <c r="K52" s="17"/>
      <c r="L52" s="10"/>
      <c r="M52" s="14"/>
      <c r="N52" s="17"/>
      <c r="O52" s="14"/>
      <c r="P52" s="14"/>
      <c r="Q52" s="14"/>
      <c r="R52" s="14"/>
      <c r="S52" s="451">
        <f t="shared" si="0"/>
        <v>0</v>
      </c>
      <c r="T52" s="551"/>
      <c r="U52" s="14"/>
      <c r="V52" s="17"/>
      <c r="W52" s="14"/>
      <c r="X52" s="17"/>
      <c r="Y52" s="10"/>
      <c r="Z52" s="14"/>
      <c r="AA52" s="17"/>
      <c r="AB52" s="14"/>
      <c r="AC52" s="14"/>
      <c r="AD52" s="14"/>
      <c r="AE52" s="14"/>
      <c r="AF52" s="451">
        <f t="shared" si="1"/>
        <v>0</v>
      </c>
      <c r="AG52" s="551"/>
      <c r="AH52" s="17"/>
      <c r="AI52" s="17"/>
      <c r="AJ52" s="14"/>
      <c r="AK52" s="17"/>
      <c r="AL52" s="17"/>
      <c r="AM52" s="17"/>
      <c r="AN52" s="14"/>
      <c r="AO52" s="14"/>
      <c r="AP52" s="14"/>
      <c r="AQ52" s="14"/>
      <c r="AR52" s="14"/>
      <c r="AS52" s="451">
        <f t="shared" si="2"/>
        <v>0</v>
      </c>
      <c r="AT52" s="540"/>
      <c r="AU52" s="14"/>
      <c r="AV52" s="14"/>
      <c r="AW52" s="14"/>
      <c r="AX52" s="14"/>
      <c r="AY52" s="541"/>
      <c r="AZ52" s="14"/>
      <c r="BA52" s="14"/>
      <c r="BB52" s="14"/>
      <c r="BC52" s="14"/>
      <c r="BD52" s="14"/>
      <c r="BE52" s="14"/>
      <c r="BF52" s="451">
        <f t="shared" si="3"/>
        <v>0</v>
      </c>
    </row>
    <row r="53" spans="1:58" ht="13.5" thickTop="1">
      <c r="H53" s="19"/>
      <c r="L53" s="19"/>
      <c r="T53" s="19"/>
      <c r="W53" s="19"/>
      <c r="X53" s="19"/>
      <c r="Y53" s="19"/>
      <c r="AL53" s="19"/>
      <c r="AY53" s="19"/>
    </row>
    <row r="54" spans="1:58">
      <c r="F54" s="542"/>
      <c r="AL54" s="13"/>
    </row>
    <row r="55" spans="1:58">
      <c r="F55" s="19"/>
      <c r="U55" s="19"/>
      <c r="AL55" s="13"/>
    </row>
    <row r="56" spans="1:58">
      <c r="AL56" s="13"/>
    </row>
    <row r="59" spans="1:58">
      <c r="H59" s="19"/>
    </row>
  </sheetData>
  <mergeCells count="9">
    <mergeCell ref="G7:S7"/>
    <mergeCell ref="T7:AF7"/>
    <mergeCell ref="AG7:AS7"/>
    <mergeCell ref="AT7:BF7"/>
    <mergeCell ref="D2:E2"/>
    <mergeCell ref="D3:E3"/>
    <mergeCell ref="D5:E5"/>
    <mergeCell ref="D4:E4"/>
    <mergeCell ref="A6:E6"/>
  </mergeCells>
  <phoneticPr fontId="11" type="noConversion"/>
  <pageMargins left="1.04" right="0.2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TB</vt:lpstr>
      <vt:lpstr>CA</vt:lpstr>
      <vt:lpstr>Due from</vt:lpstr>
      <vt:lpstr>146 sched</vt:lpstr>
      <vt:lpstr>BS</vt:lpstr>
      <vt:lpstr>IS</vt:lpstr>
      <vt:lpstr>CSF-Annual</vt:lpstr>
      <vt:lpstr>CSF-Qtr</vt:lpstr>
      <vt:lpstr>CFS-month</vt:lpstr>
      <vt:lpstr>REvised GE</vt:lpstr>
      <vt:lpstr>SUB</vt:lpstr>
      <vt:lpstr>Interest</vt:lpstr>
      <vt:lpstr>Surplus</vt:lpstr>
      <vt:lpstr>Sheet1</vt:lpstr>
      <vt:lpstr>'146 sched'!Print_Area</vt:lpstr>
      <vt:lpstr>BS!Print_Area</vt:lpstr>
      <vt:lpstr>CA!Print_Area</vt:lpstr>
      <vt:lpstr>'CFS-month'!Print_Area</vt:lpstr>
      <vt:lpstr>'CSF-Annual'!Print_Area</vt:lpstr>
      <vt:lpstr>'CSF-Qtr'!Print_Area</vt:lpstr>
      <vt:lpstr>'Due from'!Print_Area</vt:lpstr>
      <vt:lpstr>Interest!Print_Area</vt:lpstr>
      <vt:lpstr>IS!Print_Area</vt:lpstr>
      <vt:lpstr>'REvised GE'!Print_Area</vt:lpstr>
      <vt:lpstr>Sheet1!Print_Area</vt:lpstr>
      <vt:lpstr>SUB!Print_Area</vt:lpstr>
      <vt:lpstr>Surplus!Print_Area</vt:lpstr>
      <vt:lpstr>TB!Print_Area</vt:lpstr>
      <vt:lpstr>BS!Print_Titles</vt:lpstr>
      <vt:lpstr>IS!Print_Titles</vt:lpstr>
      <vt:lpstr>SUB!Print_Titles</vt:lpstr>
      <vt:lpstr>TB!Print_Titles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2012-10-25T03:20:14Z</cp:lastPrinted>
  <dcterms:created xsi:type="dcterms:W3CDTF">2004-02-16T21:15:00Z</dcterms:created>
  <dcterms:modified xsi:type="dcterms:W3CDTF">2012-11-09T06:28:42Z</dcterms:modified>
</cp:coreProperties>
</file>